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ulia\Nextcloud\AG Finanzen\Businessplan\Businessplan Finanzteil\"/>
    </mc:Choice>
  </mc:AlternateContent>
  <xr:revisionPtr revIDLastSave="0" documentId="13_ncr:1_{7D00925C-AF62-4A28-B474-BEA44074BF26}" xr6:coauthVersionLast="36" xr6:coauthVersionMax="47" xr10:uidLastSave="{00000000-0000-0000-0000-000000000000}"/>
  <bookViews>
    <workbookView xWindow="0" yWindow="0" windowWidth="19200" windowHeight="6230" tabRatio="686" activeTab="6" xr2:uid="{00000000-000D-0000-FFFF-FFFF00000000}"/>
  </bookViews>
  <sheets>
    <sheet name="Mitgl" sheetId="3" r:id="rId1"/>
    <sheet name="Investitionen" sheetId="4" r:id="rId2"/>
    <sheet name="Foerdergn" sheetId="5" r:id="rId3"/>
    <sheet name="Finanz" sheetId="6" r:id="rId4"/>
    <sheet name="Aufwand" sheetId="7" r:id="rId5"/>
    <sheet name="Liqu" sheetId="8" r:id="rId6"/>
    <sheet name="Bil" sheetId="9" r:id="rId7"/>
    <sheet name="GV" sheetId="10" r:id="rId8"/>
    <sheet name="AV" sheetId="11" r:id="rId9"/>
    <sheet name="Personal" sheetId="12" r:id="rId10"/>
    <sheet name="CF" sheetId="13" r:id="rId11"/>
    <sheet name="Wartungskosten" sheetId="14" r:id="rId12"/>
    <sheet name="Saldenlisten" sheetId="1" r:id="rId13"/>
    <sheet name="Saldenlisten24_25" sheetId="2" r:id="rId14"/>
  </sheets>
  <definedNames>
    <definedName name="_xlnm.Print_Area" localSheetId="6">Bil!$A$1:$J$65</definedName>
    <definedName name="_xlnm.Print_Area" localSheetId="7">GV!$A$1:$J$61</definedName>
    <definedName name="_xlnm.Print_Area" localSheetId="0">Mitgl!$A$1:$BX$55</definedName>
    <definedName name="_xlnm.Print_Titles" localSheetId="4">Aufwand!$B:$E</definedName>
    <definedName name="_xlnm.Print_Titles" localSheetId="3">Finanz!$B:$F</definedName>
    <definedName name="_xlnm.Print_Titles" localSheetId="2">Foerdergn!$B:$F</definedName>
    <definedName name="_xlnm.Print_Titles" localSheetId="1">Investitionen!$B:$G</definedName>
    <definedName name="_xlnm.Print_Titles" localSheetId="5">Liqu!$B:$E</definedName>
    <definedName name="_xlnm.Print_Titles" localSheetId="0">Mitgl!$B:$D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298" i="11" l="1"/>
  <c r="L35" i="9"/>
  <c r="L34" i="9"/>
  <c r="L44" i="11"/>
  <c r="G24" i="9"/>
  <c r="BH30" i="3"/>
  <c r="BI30" i="3"/>
  <c r="CA5" i="6"/>
  <c r="CB5" i="6" s="1"/>
  <c r="CC5" i="6" s="1"/>
  <c r="CD5" i="6" s="1"/>
  <c r="CE5" i="6" s="1"/>
  <c r="CF5" i="6" s="1"/>
  <c r="CG5" i="6" s="1"/>
  <c r="CH5" i="6" s="1"/>
  <c r="CI5" i="6" s="1"/>
  <c r="CJ5" i="6" s="1"/>
  <c r="BZ5" i="6"/>
  <c r="BY5" i="6"/>
  <c r="BH5" i="6"/>
  <c r="BG5" i="6"/>
  <c r="AN29" i="3"/>
  <c r="AX5" i="6"/>
  <c r="BP31" i="7" l="1"/>
  <c r="CJ8" i="12"/>
  <c r="AK7" i="7"/>
  <c r="AL7" i="7"/>
  <c r="AM7" i="7"/>
  <c r="AN7" i="7"/>
  <c r="AO7" i="7"/>
  <c r="AP7" i="7"/>
  <c r="AQ7" i="7"/>
  <c r="AR7" i="7"/>
  <c r="AS7" i="7"/>
  <c r="AT7" i="7"/>
  <c r="AU7" i="7"/>
  <c r="AJ7" i="7"/>
  <c r="AJ5" i="7"/>
  <c r="AK5" i="7"/>
  <c r="AL5" i="7"/>
  <c r="AM5" i="7"/>
  <c r="AN5" i="7"/>
  <c r="AO5" i="7"/>
  <c r="AP5" i="7"/>
  <c r="AQ5" i="7"/>
  <c r="AR5" i="7"/>
  <c r="AS5" i="7"/>
  <c r="AT5" i="7"/>
  <c r="AJ6" i="7"/>
  <c r="AK6" i="7"/>
  <c r="AL6" i="7"/>
  <c r="AM6" i="7"/>
  <c r="AN6" i="7"/>
  <c r="AO6" i="7"/>
  <c r="AP6" i="7"/>
  <c r="AQ6" i="7"/>
  <c r="AR6" i="7"/>
  <c r="AS6" i="7"/>
  <c r="AT6" i="7"/>
  <c r="AU6" i="7"/>
  <c r="AU5" i="7"/>
  <c r="AJ4" i="7"/>
  <c r="AK4" i="7"/>
  <c r="AL4" i="7"/>
  <c r="AM4" i="7"/>
  <c r="AN4" i="7"/>
  <c r="AO4" i="7"/>
  <c r="AP4" i="7"/>
  <c r="AQ4" i="7"/>
  <c r="AR4" i="7"/>
  <c r="AS4" i="7"/>
  <c r="AT4" i="7"/>
  <c r="AU4" i="7"/>
  <c r="CJ19" i="12"/>
  <c r="CI19" i="12"/>
  <c r="BW19" i="12"/>
  <c r="BV19" i="12"/>
  <c r="BJ19" i="12"/>
  <c r="AW19" i="12"/>
  <c r="BI19" i="12"/>
  <c r="CK12" i="12"/>
  <c r="CM12" i="12" s="1"/>
  <c r="CO12" i="12" s="1"/>
  <c r="CQ12" i="12" s="1"/>
  <c r="CS12" i="12" s="1"/>
  <c r="CU12" i="12" s="1"/>
  <c r="BW11" i="12"/>
  <c r="BY11" i="12" s="1"/>
  <c r="CA11" i="12" s="1"/>
  <c r="CC11" i="12" s="1"/>
  <c r="BJ8" i="12"/>
  <c r="BK8" i="12" s="1"/>
  <c r="BL8" i="12" s="1"/>
  <c r="BM8" i="12" s="1"/>
  <c r="BN8" i="12" s="1"/>
  <c r="BM12" i="12"/>
  <c r="BO12" i="12" s="1"/>
  <c r="BQ12" i="12" s="1"/>
  <c r="BS12" i="12" s="1"/>
  <c r="BU12" i="12" s="1"/>
  <c r="BJ12" i="12"/>
  <c r="BL12" i="12" s="1"/>
  <c r="BN12" i="12" s="1"/>
  <c r="BP12" i="12" s="1"/>
  <c r="BR12" i="12" s="1"/>
  <c r="BT12" i="12" s="1"/>
  <c r="AV19" i="12"/>
  <c r="BX11" i="12" l="1"/>
  <c r="BZ11" i="12" s="1"/>
  <c r="CB11" i="12" s="1"/>
  <c r="CD11" i="12" s="1"/>
  <c r="CF11" i="12" s="1"/>
  <c r="CH11" i="12" s="1"/>
  <c r="CJ11" i="12" s="1"/>
  <c r="CL11" i="12" s="1"/>
  <c r="CN11" i="12" s="1"/>
  <c r="CP11" i="12" s="1"/>
  <c r="CR11" i="12" s="1"/>
  <c r="CT11" i="12" s="1"/>
  <c r="CL12" i="12"/>
  <c r="CN12" i="12" s="1"/>
  <c r="CP12" i="12" s="1"/>
  <c r="CR12" i="12" s="1"/>
  <c r="CT12" i="12" s="1"/>
  <c r="CE11" i="12"/>
  <c r="CG11" i="12" s="1"/>
  <c r="BO8" i="12"/>
  <c r="BP8" i="12" s="1"/>
  <c r="BQ8" i="12" s="1"/>
  <c r="BR8" i="12" s="1"/>
  <c r="H46" i="9"/>
  <c r="AW12" i="8"/>
  <c r="AI12" i="8"/>
  <c r="AL13" i="8"/>
  <c r="AK13" i="8"/>
  <c r="AI13" i="8"/>
  <c r="AG13" i="8"/>
  <c r="AH13" i="8" s="1"/>
  <c r="CK11" i="12" l="1"/>
  <c r="CM11" i="12" s="1"/>
  <c r="CO11" i="12" s="1"/>
  <c r="CQ11" i="12" s="1"/>
  <c r="CS11" i="12" s="1"/>
  <c r="CU11" i="12" s="1"/>
  <c r="BS8" i="12"/>
  <c r="AI28" i="8"/>
  <c r="AI46" i="8"/>
  <c r="F35" i="9"/>
  <c r="G33" i="9"/>
  <c r="D32" i="9"/>
  <c r="F33" i="9"/>
  <c r="F32" i="9"/>
  <c r="D11" i="10"/>
  <c r="L11" i="9"/>
  <c r="K11" i="9"/>
  <c r="L10" i="9"/>
  <c r="K10" i="9"/>
  <c r="L9" i="9"/>
  <c r="K9" i="9"/>
  <c r="L8" i="9"/>
  <c r="K8" i="9"/>
  <c r="L57" i="9"/>
  <c r="L43" i="9"/>
  <c r="L40" i="9"/>
  <c r="K43" i="9"/>
  <c r="K40" i="9"/>
  <c r="J29" i="10"/>
  <c r="I29" i="10"/>
  <c r="J27" i="10"/>
  <c r="I27" i="10"/>
  <c r="J24" i="10"/>
  <c r="I24" i="10"/>
  <c r="J22" i="10"/>
  <c r="I22" i="10"/>
  <c r="J11" i="10"/>
  <c r="I11" i="10"/>
  <c r="J10" i="10"/>
  <c r="I10" i="10"/>
  <c r="CA26" i="8"/>
  <c r="BZ26" i="8"/>
  <c r="CA16" i="8"/>
  <c r="BZ16" i="8"/>
  <c r="CA9" i="8"/>
  <c r="CA6" i="8"/>
  <c r="BZ6" i="8"/>
  <c r="S294" i="11"/>
  <c r="Q294" i="11"/>
  <c r="T294" i="11" s="1"/>
  <c r="S246" i="11"/>
  <c r="S198" i="11"/>
  <c r="S152" i="11"/>
  <c r="U298" i="11"/>
  <c r="I298" i="11"/>
  <c r="G298" i="11"/>
  <c r="S291" i="11"/>
  <c r="R291" i="11"/>
  <c r="S288" i="11"/>
  <c r="R285" i="11"/>
  <c r="P285" i="11"/>
  <c r="D276" i="11"/>
  <c r="D270" i="11"/>
  <c r="D264" i="11"/>
  <c r="R261" i="11"/>
  <c r="U250" i="11"/>
  <c r="I250" i="11"/>
  <c r="G250" i="11"/>
  <c r="S243" i="11"/>
  <c r="S240" i="11"/>
  <c r="P237" i="11"/>
  <c r="D228" i="11"/>
  <c r="D222" i="11"/>
  <c r="D216" i="11"/>
  <c r="R213" i="11"/>
  <c r="CG33" i="7"/>
  <c r="CL33" i="7" s="1"/>
  <c r="CY30" i="7"/>
  <c r="CX30" i="7"/>
  <c r="CW30" i="7"/>
  <c r="CV30" i="7"/>
  <c r="CU30" i="7"/>
  <c r="CT30" i="7"/>
  <c r="CS30" i="7"/>
  <c r="CR30" i="7"/>
  <c r="CQ30" i="7"/>
  <c r="CZ30" i="7" s="1"/>
  <c r="CP30" i="7"/>
  <c r="CO30" i="7"/>
  <c r="CY29" i="7"/>
  <c r="CX29" i="7"/>
  <c r="CW29" i="7"/>
  <c r="CV29" i="7"/>
  <c r="CU29" i="7"/>
  <c r="CT29" i="7"/>
  <c r="CS29" i="7"/>
  <c r="CR29" i="7"/>
  <c r="CQ29" i="7"/>
  <c r="CP29" i="7"/>
  <c r="CO29" i="7"/>
  <c r="CY28" i="7"/>
  <c r="CX28" i="7"/>
  <c r="CW28" i="7"/>
  <c r="CV28" i="7"/>
  <c r="CU28" i="7"/>
  <c r="CT28" i="7"/>
  <c r="CS28" i="7"/>
  <c r="CR28" i="7"/>
  <c r="CQ28" i="7"/>
  <c r="CP28" i="7"/>
  <c r="CO28" i="7"/>
  <c r="CY27" i="7"/>
  <c r="CX27" i="7"/>
  <c r="CW27" i="7"/>
  <c r="CV27" i="7"/>
  <c r="CU27" i="7"/>
  <c r="CT27" i="7"/>
  <c r="CS27" i="7"/>
  <c r="CR27" i="7"/>
  <c r="CZ27" i="7" s="1"/>
  <c r="CQ27" i="7"/>
  <c r="CP27" i="7"/>
  <c r="CO27" i="7"/>
  <c r="CY26" i="7"/>
  <c r="CX26" i="7"/>
  <c r="CW26" i="7"/>
  <c r="CV26" i="7"/>
  <c r="CU26" i="7"/>
  <c r="CT26" i="7"/>
  <c r="CS26" i="7"/>
  <c r="CR26" i="7"/>
  <c r="CQ26" i="7"/>
  <c r="CZ26" i="7" s="1"/>
  <c r="CP26" i="7"/>
  <c r="CO26" i="7"/>
  <c r="CY25" i="7"/>
  <c r="CX25" i="7"/>
  <c r="CW25" i="7"/>
  <c r="CV25" i="7"/>
  <c r="CU25" i="7"/>
  <c r="CT25" i="7"/>
  <c r="CS25" i="7"/>
  <c r="CR25" i="7"/>
  <c r="CQ25" i="7"/>
  <c r="CP25" i="7"/>
  <c r="CZ25" i="7" s="1"/>
  <c r="CO25" i="7"/>
  <c r="CY24" i="7"/>
  <c r="CX24" i="7"/>
  <c r="CW24" i="7"/>
  <c r="CV24" i="7"/>
  <c r="CU24" i="7"/>
  <c r="CT24" i="7"/>
  <c r="CS24" i="7"/>
  <c r="CR24" i="7"/>
  <c r="CQ24" i="7"/>
  <c r="CP24" i="7"/>
  <c r="CO24" i="7"/>
  <c r="CN31" i="7"/>
  <c r="CN30" i="7"/>
  <c r="CN29" i="7"/>
  <c r="CN28" i="7"/>
  <c r="CN27" i="7"/>
  <c r="CN26" i="7"/>
  <c r="CN25" i="7"/>
  <c r="CN24" i="7"/>
  <c r="CR31" i="7"/>
  <c r="CZ31" i="7" s="1"/>
  <c r="CD31" i="7"/>
  <c r="CL31" i="7" s="1"/>
  <c r="BZ33" i="7"/>
  <c r="CL30" i="7"/>
  <c r="CL29" i="7"/>
  <c r="CL28" i="7"/>
  <c r="CL27" i="7"/>
  <c r="CL26" i="7"/>
  <c r="CL25" i="7"/>
  <c r="CL24" i="7"/>
  <c r="CK31" i="7"/>
  <c r="CJ31" i="7"/>
  <c r="CI31" i="7"/>
  <c r="CH31" i="7"/>
  <c r="CG31" i="7"/>
  <c r="CF31" i="7"/>
  <c r="CE31" i="7"/>
  <c r="CC31" i="7"/>
  <c r="CB31" i="7"/>
  <c r="CA31" i="7"/>
  <c r="CK30" i="7"/>
  <c r="CJ30" i="7"/>
  <c r="CI30" i="7"/>
  <c r="CH30" i="7"/>
  <c r="CG30" i="7"/>
  <c r="CF30" i="7"/>
  <c r="CE30" i="7"/>
  <c r="CD30" i="7"/>
  <c r="CC30" i="7"/>
  <c r="CB30" i="7"/>
  <c r="CA30" i="7"/>
  <c r="CK29" i="7"/>
  <c r="CJ29" i="7"/>
  <c r="CI29" i="7"/>
  <c r="CH29" i="7"/>
  <c r="CG29" i="7"/>
  <c r="CF29" i="7"/>
  <c r="CE29" i="7"/>
  <c r="CD29" i="7"/>
  <c r="CC29" i="7"/>
  <c r="CB29" i="7"/>
  <c r="CA29" i="7"/>
  <c r="CK28" i="7"/>
  <c r="CJ28" i="7"/>
  <c r="CI28" i="7"/>
  <c r="CH28" i="7"/>
  <c r="CG28" i="7"/>
  <c r="CF28" i="7"/>
  <c r="CE28" i="7"/>
  <c r="CD28" i="7"/>
  <c r="CC28" i="7"/>
  <c r="CB28" i="7"/>
  <c r="CA28" i="7"/>
  <c r="CK27" i="7"/>
  <c r="CJ27" i="7"/>
  <c r="CI27" i="7"/>
  <c r="CH27" i="7"/>
  <c r="CG27" i="7"/>
  <c r="CF27" i="7"/>
  <c r="CE27" i="7"/>
  <c r="CD27" i="7"/>
  <c r="CC27" i="7"/>
  <c r="CB27" i="7"/>
  <c r="CA27" i="7"/>
  <c r="CK26" i="7"/>
  <c r="CJ26" i="7"/>
  <c r="CI26" i="7"/>
  <c r="CH26" i="7"/>
  <c r="CG26" i="7"/>
  <c r="CF26" i="7"/>
  <c r="CE26" i="7"/>
  <c r="CD26" i="7"/>
  <c r="CC26" i="7"/>
  <c r="CB26" i="7"/>
  <c r="CA26" i="7"/>
  <c r="CK25" i="7"/>
  <c r="CJ25" i="7"/>
  <c r="CI25" i="7"/>
  <c r="CH25" i="7"/>
  <c r="CG25" i="7"/>
  <c r="CF25" i="7"/>
  <c r="CE25" i="7"/>
  <c r="CD25" i="7"/>
  <c r="CC25" i="7"/>
  <c r="CB25" i="7"/>
  <c r="CA25" i="7"/>
  <c r="CK24" i="7"/>
  <c r="CJ24" i="7"/>
  <c r="CI24" i="7"/>
  <c r="CH24" i="7"/>
  <c r="CG24" i="7"/>
  <c r="CF24" i="7"/>
  <c r="CE24" i="7"/>
  <c r="CD24" i="7"/>
  <c r="CC24" i="7"/>
  <c r="CB24" i="7"/>
  <c r="CA24" i="7"/>
  <c r="BZ31" i="7"/>
  <c r="BZ30" i="7"/>
  <c r="BZ29" i="7"/>
  <c r="BZ28" i="7"/>
  <c r="BZ27" i="7"/>
  <c r="BZ26" i="7"/>
  <c r="BZ25" i="7"/>
  <c r="BZ24" i="7"/>
  <c r="CB33" i="7"/>
  <c r="CY11" i="7"/>
  <c r="CX11" i="7"/>
  <c r="CW11" i="7"/>
  <c r="CV11" i="7"/>
  <c r="CU11" i="7"/>
  <c r="CT11" i="7"/>
  <c r="CS11" i="7"/>
  <c r="CR11" i="7"/>
  <c r="CR13" i="7" s="1"/>
  <c r="CQ11" i="7"/>
  <c r="CP11" i="7"/>
  <c r="CO11" i="7"/>
  <c r="CY10" i="7"/>
  <c r="CX10" i="7"/>
  <c r="CW10" i="7"/>
  <c r="CW13" i="7" s="1"/>
  <c r="CV10" i="7"/>
  <c r="CU10" i="7"/>
  <c r="CU13" i="7" s="1"/>
  <c r="CT10" i="7"/>
  <c r="CS10" i="7"/>
  <c r="CR10" i="7"/>
  <c r="CQ10" i="7"/>
  <c r="CP10" i="7"/>
  <c r="CO10" i="7"/>
  <c r="CZ10" i="7" s="1"/>
  <c r="CN11" i="7"/>
  <c r="CN10" i="7"/>
  <c r="CK11" i="7"/>
  <c r="CJ11" i="7"/>
  <c r="CI11" i="7"/>
  <c r="CI13" i="7" s="1"/>
  <c r="CH11" i="7"/>
  <c r="CG11" i="7"/>
  <c r="CF11" i="7"/>
  <c r="CE11" i="7"/>
  <c r="CD11" i="7"/>
  <c r="CC11" i="7"/>
  <c r="CB11" i="7"/>
  <c r="CA11" i="7"/>
  <c r="CL11" i="7" s="1"/>
  <c r="CK10" i="7"/>
  <c r="CJ10" i="7"/>
  <c r="CI10" i="7"/>
  <c r="CH10" i="7"/>
  <c r="CG10" i="7"/>
  <c r="CG13" i="7" s="1"/>
  <c r="CF10" i="7"/>
  <c r="CE10" i="7"/>
  <c r="CD10" i="7"/>
  <c r="CD13" i="7" s="1"/>
  <c r="CC10" i="7"/>
  <c r="CB10" i="7"/>
  <c r="CA10" i="7"/>
  <c r="BZ10" i="7"/>
  <c r="BZ11" i="7"/>
  <c r="BW10" i="7"/>
  <c r="CZ46" i="7"/>
  <c r="CN33" i="7"/>
  <c r="CZ33" i="7" s="1"/>
  <c r="CZ29" i="7"/>
  <c r="CZ28" i="7"/>
  <c r="CY23" i="7"/>
  <c r="CX23" i="7"/>
  <c r="CW23" i="7"/>
  <c r="CV23" i="7"/>
  <c r="CU23" i="7"/>
  <c r="CT23" i="7"/>
  <c r="CS23" i="7"/>
  <c r="CR23" i="7"/>
  <c r="CQ23" i="7"/>
  <c r="CP23" i="7"/>
  <c r="CO23" i="7"/>
  <c r="CN23" i="7"/>
  <c r="CZ23" i="7" s="1"/>
  <c r="CZ21" i="7"/>
  <c r="CY21" i="7"/>
  <c r="CX21" i="7"/>
  <c r="CW21" i="7"/>
  <c r="CV21" i="7"/>
  <c r="CU21" i="7"/>
  <c r="CT21" i="7"/>
  <c r="CS21" i="7"/>
  <c r="CR21" i="7"/>
  <c r="CQ21" i="7"/>
  <c r="CP21" i="7"/>
  <c r="CO21" i="7"/>
  <c r="CN21" i="7"/>
  <c r="CY20" i="7"/>
  <c r="CX20" i="7"/>
  <c r="CW20" i="7"/>
  <c r="CV20" i="7"/>
  <c r="CU20" i="7"/>
  <c r="CT20" i="7"/>
  <c r="CS20" i="7"/>
  <c r="CR20" i="7"/>
  <c r="CQ20" i="7"/>
  <c r="CP20" i="7"/>
  <c r="CO20" i="7"/>
  <c r="CN20" i="7"/>
  <c r="CZ20" i="7" s="1"/>
  <c r="CY19" i="7"/>
  <c r="CX19" i="7"/>
  <c r="CW19" i="7"/>
  <c r="CV19" i="7"/>
  <c r="CU19" i="7"/>
  <c r="CT19" i="7"/>
  <c r="CS19" i="7"/>
  <c r="CR19" i="7"/>
  <c r="CZ19" i="7" s="1"/>
  <c r="CQ19" i="7"/>
  <c r="CP19" i="7"/>
  <c r="CO19" i="7"/>
  <c r="CN19" i="7"/>
  <c r="CY18" i="7"/>
  <c r="CX18" i="7"/>
  <c r="CW18" i="7"/>
  <c r="CV18" i="7"/>
  <c r="CU18" i="7"/>
  <c r="CT18" i="7"/>
  <c r="CS18" i="7"/>
  <c r="CR18" i="7"/>
  <c r="CQ18" i="7"/>
  <c r="CP18" i="7"/>
  <c r="CO18" i="7"/>
  <c r="CZ18" i="7" s="1"/>
  <c r="CN18" i="7"/>
  <c r="CY16" i="7"/>
  <c r="CX16" i="7"/>
  <c r="CW16" i="7"/>
  <c r="CV16" i="7"/>
  <c r="CU16" i="7"/>
  <c r="CT16" i="7"/>
  <c r="CS16" i="7"/>
  <c r="CR16" i="7"/>
  <c r="CQ16" i="7"/>
  <c r="CP16" i="7"/>
  <c r="CO16" i="7"/>
  <c r="CN16" i="7"/>
  <c r="CZ16" i="7" s="1"/>
  <c r="CM15" i="7"/>
  <c r="CT13" i="7"/>
  <c r="CY13" i="7"/>
  <c r="CX13" i="7"/>
  <c r="CV13" i="7"/>
  <c r="CS13" i="7"/>
  <c r="CQ13" i="7"/>
  <c r="CP13" i="7"/>
  <c r="CM9" i="7"/>
  <c r="CM4" i="7"/>
  <c r="CL46" i="7"/>
  <c r="CK23" i="7"/>
  <c r="CJ23" i="7"/>
  <c r="CI23" i="7"/>
  <c r="CH23" i="7"/>
  <c r="CG23" i="7"/>
  <c r="CF23" i="7"/>
  <c r="CE23" i="7"/>
  <c r="CD23" i="7"/>
  <c r="CC23" i="7"/>
  <c r="CB23" i="7"/>
  <c r="CA23" i="7"/>
  <c r="BZ23" i="7"/>
  <c r="CL23" i="7" s="1"/>
  <c r="CK21" i="7"/>
  <c r="CJ21" i="7"/>
  <c r="CI21" i="7"/>
  <c r="CH21" i="7"/>
  <c r="CG21" i="7"/>
  <c r="CF21" i="7"/>
  <c r="CE21" i="7"/>
  <c r="CD21" i="7"/>
  <c r="CC21" i="7"/>
  <c r="CB21" i="7"/>
  <c r="CA21" i="7"/>
  <c r="BZ21" i="7"/>
  <c r="CL21" i="7" s="1"/>
  <c r="CK20" i="7"/>
  <c r="CJ20" i="7"/>
  <c r="CI20" i="7"/>
  <c r="CH20" i="7"/>
  <c r="CG20" i="7"/>
  <c r="CF20" i="7"/>
  <c r="CE20" i="7"/>
  <c r="CD20" i="7"/>
  <c r="CC20" i="7"/>
  <c r="CB20" i="7"/>
  <c r="CA20" i="7"/>
  <c r="BZ20" i="7"/>
  <c r="CL20" i="7" s="1"/>
  <c r="CK19" i="7"/>
  <c r="CJ19" i="7"/>
  <c r="CI19" i="7"/>
  <c r="CH19" i="7"/>
  <c r="CG19" i="7"/>
  <c r="CF19" i="7"/>
  <c r="CE19" i="7"/>
  <c r="CD19" i="7"/>
  <c r="CC19" i="7"/>
  <c r="CB19" i="7"/>
  <c r="CA19" i="7"/>
  <c r="BZ19" i="7"/>
  <c r="CK18" i="7"/>
  <c r="CJ18" i="7"/>
  <c r="CI18" i="7"/>
  <c r="CH18" i="7"/>
  <c r="CG18" i="7"/>
  <c r="CF18" i="7"/>
  <c r="CE18" i="7"/>
  <c r="CD18" i="7"/>
  <c r="CC18" i="7"/>
  <c r="CB18" i="7"/>
  <c r="CA18" i="7"/>
  <c r="BZ18" i="7"/>
  <c r="CL18" i="7" s="1"/>
  <c r="CK16" i="7"/>
  <c r="CJ16" i="7"/>
  <c r="CI16" i="7"/>
  <c r="CH16" i="7"/>
  <c r="CG16" i="7"/>
  <c r="CF16" i="7"/>
  <c r="CE16" i="7"/>
  <c r="CD16" i="7"/>
  <c r="CC16" i="7"/>
  <c r="CB16" i="7"/>
  <c r="CA16" i="7"/>
  <c r="BZ16" i="7"/>
  <c r="CL16" i="7" s="1"/>
  <c r="BY15" i="7"/>
  <c r="CK13" i="7"/>
  <c r="CJ13" i="7"/>
  <c r="CH13" i="7"/>
  <c r="CF13" i="7"/>
  <c r="CE13" i="7"/>
  <c r="CC13" i="7"/>
  <c r="CB13" i="7"/>
  <c r="CA13" i="7"/>
  <c r="BY9" i="7"/>
  <c r="BY4" i="7"/>
  <c r="CX17" i="6"/>
  <c r="CX15" i="6"/>
  <c r="CX14" i="6"/>
  <c r="CX11" i="6"/>
  <c r="CX10" i="6"/>
  <c r="CW5" i="6"/>
  <c r="CV5" i="6"/>
  <c r="CU5" i="6"/>
  <c r="CT5" i="6"/>
  <c r="CS5" i="6"/>
  <c r="CR5" i="6"/>
  <c r="CQ5" i="6"/>
  <c r="CP5" i="6"/>
  <c r="CO5" i="6"/>
  <c r="CN5" i="6"/>
  <c r="CM5" i="6"/>
  <c r="CL5" i="6"/>
  <c r="CK10" i="6"/>
  <c r="CK14" i="6"/>
  <c r="CN27" i="3"/>
  <c r="CO27" i="3" s="1"/>
  <c r="CM10" i="3"/>
  <c r="CZ4" i="3"/>
  <c r="BZ30" i="3"/>
  <c r="CB27" i="3"/>
  <c r="CC27" i="3" s="1"/>
  <c r="CA27" i="3"/>
  <c r="CA30" i="3" s="1"/>
  <c r="BZ27" i="3"/>
  <c r="BY10" i="3"/>
  <c r="CL4" i="3"/>
  <c r="BS24" i="6"/>
  <c r="BI15" i="6"/>
  <c r="BH15" i="6"/>
  <c r="BG15" i="6"/>
  <c r="BF15" i="6"/>
  <c r="BE15" i="6"/>
  <c r="BD15" i="6"/>
  <c r="BC15" i="6"/>
  <c r="BB15" i="6"/>
  <c r="BA15" i="6"/>
  <c r="AZ15" i="6"/>
  <c r="AY15" i="6"/>
  <c r="AX15" i="6"/>
  <c r="AR15" i="6"/>
  <c r="BT8" i="12" l="1"/>
  <c r="S250" i="11"/>
  <c r="V291" i="11"/>
  <c r="S298" i="11"/>
  <c r="CZ24" i="7"/>
  <c r="CO13" i="7"/>
  <c r="CZ11" i="7"/>
  <c r="CZ13" i="7" s="1"/>
  <c r="CL10" i="7"/>
  <c r="CL13" i="7" s="1"/>
  <c r="CN13" i="7"/>
  <c r="CL19" i="7"/>
  <c r="BZ13" i="7"/>
  <c r="CX5" i="6"/>
  <c r="CP27" i="3"/>
  <c r="CO30" i="3"/>
  <c r="CN30" i="3"/>
  <c r="CD27" i="3"/>
  <c r="CC30" i="3"/>
  <c r="CB30" i="3"/>
  <c r="S105" i="11"/>
  <c r="Q152" i="11" s="1"/>
  <c r="S59" i="11"/>
  <c r="Q102" i="11" s="1"/>
  <c r="Q149" i="11" s="1"/>
  <c r="T149" i="11" s="1"/>
  <c r="AF12" i="5"/>
  <c r="AM11" i="5"/>
  <c r="S18" i="11"/>
  <c r="T18" i="11" s="1"/>
  <c r="H57" i="2"/>
  <c r="BU8" i="12" l="1"/>
  <c r="T152" i="11"/>
  <c r="Q198" i="11"/>
  <c r="V285" i="11"/>
  <c r="CQ27" i="3"/>
  <c r="CP30" i="3"/>
  <c r="CE27" i="3"/>
  <c r="CD30" i="3"/>
  <c r="T105" i="11"/>
  <c r="V105" i="11" s="1"/>
  <c r="R152" i="11" s="1"/>
  <c r="T59" i="11"/>
  <c r="V59" i="11" s="1"/>
  <c r="R102" i="11" s="1"/>
  <c r="Q53" i="11"/>
  <c r="V18" i="11"/>
  <c r="BX8" i="12" l="1"/>
  <c r="BZ8" i="12" s="1"/>
  <c r="CB8" i="12" s="1"/>
  <c r="CD8" i="12" s="1"/>
  <c r="CF8" i="12" s="1"/>
  <c r="CH8" i="12" s="1"/>
  <c r="BY8" i="12"/>
  <c r="CA8" i="12" s="1"/>
  <c r="CC8" i="12" s="1"/>
  <c r="CE8" i="12" s="1"/>
  <c r="CG8" i="12" s="1"/>
  <c r="V152" i="11"/>
  <c r="R198" i="11" s="1"/>
  <c r="T198" i="11"/>
  <c r="Q246" i="11"/>
  <c r="T246" i="11" s="1"/>
  <c r="CR27" i="3"/>
  <c r="CQ30" i="3"/>
  <c r="CE30" i="3"/>
  <c r="CF27" i="3"/>
  <c r="O2" i="11"/>
  <c r="Q18" i="11"/>
  <c r="U202" i="11"/>
  <c r="S195" i="11"/>
  <c r="S192" i="11"/>
  <c r="P189" i="11"/>
  <c r="R165" i="11"/>
  <c r="S149" i="11"/>
  <c r="S146" i="11"/>
  <c r="P143" i="11"/>
  <c r="P115" i="11"/>
  <c r="U110" i="11"/>
  <c r="S99" i="11"/>
  <c r="P96" i="11"/>
  <c r="O68" i="11"/>
  <c r="P53" i="11"/>
  <c r="O28" i="11"/>
  <c r="CK8" i="12" l="1"/>
  <c r="CL8" i="12"/>
  <c r="V198" i="11"/>
  <c r="R246" i="11" s="1"/>
  <c r="V246" i="11" s="1"/>
  <c r="R294" i="11" s="1"/>
  <c r="V294" i="11" s="1"/>
  <c r="CR30" i="3"/>
  <c r="CS27" i="3"/>
  <c r="CF30" i="3"/>
  <c r="CG27" i="3"/>
  <c r="S202" i="11"/>
  <c r="S156" i="11"/>
  <c r="Q23" i="11"/>
  <c r="CN8" i="12" l="1"/>
  <c r="CM8" i="12"/>
  <c r="CS30" i="3"/>
  <c r="CT27" i="3"/>
  <c r="CH27" i="3"/>
  <c r="CG30" i="3"/>
  <c r="E93" i="11"/>
  <c r="E50" i="11"/>
  <c r="G84" i="11"/>
  <c r="G15" i="11"/>
  <c r="CO8" i="12" l="1"/>
  <c r="CP8" i="12"/>
  <c r="CU27" i="3"/>
  <c r="CT30" i="3"/>
  <c r="CH30" i="3"/>
  <c r="CI27" i="3"/>
  <c r="B22" i="14"/>
  <c r="B10" i="14"/>
  <c r="B12" i="14" s="1"/>
  <c r="L60" i="13"/>
  <c r="L59" i="13"/>
  <c r="L62" i="13" s="1"/>
  <c r="I50" i="13"/>
  <c r="H50" i="13"/>
  <c r="G50" i="13"/>
  <c r="F50" i="13"/>
  <c r="E50" i="13"/>
  <c r="D50" i="13"/>
  <c r="I49" i="13"/>
  <c r="H49" i="13"/>
  <c r="G49" i="13"/>
  <c r="F49" i="13"/>
  <c r="E49" i="13"/>
  <c r="D49" i="13"/>
  <c r="M47" i="13"/>
  <c r="L47" i="13"/>
  <c r="N46" i="13"/>
  <c r="M46" i="13"/>
  <c r="L46" i="13"/>
  <c r="K46" i="13"/>
  <c r="J46" i="13"/>
  <c r="L45" i="13"/>
  <c r="L53" i="13" s="1"/>
  <c r="L40" i="13"/>
  <c r="D40" i="13"/>
  <c r="D43" i="13" s="1"/>
  <c r="L32" i="13"/>
  <c r="I32" i="13"/>
  <c r="H32" i="13"/>
  <c r="G32" i="13"/>
  <c r="L31" i="13"/>
  <c r="D30" i="13"/>
  <c r="L29" i="13"/>
  <c r="I29" i="13"/>
  <c r="H29" i="13"/>
  <c r="G29" i="13"/>
  <c r="L28" i="13"/>
  <c r="L27" i="13"/>
  <c r="N25" i="13"/>
  <c r="M25" i="13"/>
  <c r="L25" i="13"/>
  <c r="K25" i="13"/>
  <c r="J25" i="13"/>
  <c r="I25" i="13"/>
  <c r="H25" i="13"/>
  <c r="G25" i="13"/>
  <c r="N24" i="13"/>
  <c r="M24" i="13"/>
  <c r="L24" i="13"/>
  <c r="K24" i="13"/>
  <c r="J24" i="13"/>
  <c r="I24" i="13"/>
  <c r="H24" i="13"/>
  <c r="G24" i="13"/>
  <c r="N23" i="13"/>
  <c r="M23" i="13"/>
  <c r="L23" i="13"/>
  <c r="K23" i="13"/>
  <c r="J23" i="13"/>
  <c r="I23" i="13"/>
  <c r="H23" i="13"/>
  <c r="G23" i="13"/>
  <c r="L22" i="13"/>
  <c r="L18" i="13"/>
  <c r="N15" i="13"/>
  <c r="M15" i="13"/>
  <c r="L15" i="13"/>
  <c r="K15" i="13"/>
  <c r="J15" i="13"/>
  <c r="D15" i="13"/>
  <c r="AG26" i="12"/>
  <c r="AF24" i="12"/>
  <c r="AG6" i="7" s="1"/>
  <c r="AE24" i="12"/>
  <c r="AF6" i="7" s="1"/>
  <c r="AD24" i="12"/>
  <c r="AE6" i="7" s="1"/>
  <c r="AG25" i="8" s="1"/>
  <c r="AC24" i="12"/>
  <c r="AD6" i="7" s="1"/>
  <c r="AB24" i="12"/>
  <c r="AC6" i="7" s="1"/>
  <c r="AE25" i="8" s="1"/>
  <c r="AA24" i="12"/>
  <c r="Z24" i="12"/>
  <c r="AA6" i="7" s="1"/>
  <c r="Y24" i="12"/>
  <c r="X24" i="12"/>
  <c r="Y6" i="7" s="1"/>
  <c r="Z25" i="8" s="1"/>
  <c r="W24" i="12"/>
  <c r="X6" i="7" s="1"/>
  <c r="V24" i="12"/>
  <c r="W6" i="7" s="1"/>
  <c r="X25" i="8" s="1"/>
  <c r="U24" i="12"/>
  <c r="V6" i="7" s="1"/>
  <c r="AF23" i="12"/>
  <c r="AG5" i="7" s="1"/>
  <c r="AH24" i="8" s="1"/>
  <c r="AE23" i="12"/>
  <c r="AD23" i="12"/>
  <c r="AE5" i="7" s="1"/>
  <c r="AF24" i="8" s="1"/>
  <c r="AC23" i="12"/>
  <c r="AB23" i="12"/>
  <c r="AC5" i="7" s="1"/>
  <c r="AA23" i="12"/>
  <c r="AB5" i="7" s="1"/>
  <c r="AC24" i="8" s="1"/>
  <c r="Z23" i="12"/>
  <c r="AA5" i="7" s="1"/>
  <c r="AA24" i="8" s="1"/>
  <c r="Y23" i="12"/>
  <c r="Z5" i="7" s="1"/>
  <c r="X23" i="12"/>
  <c r="Y5" i="7" s="1"/>
  <c r="Y24" i="8" s="1"/>
  <c r="W23" i="12"/>
  <c r="V23" i="12"/>
  <c r="W5" i="7" s="1"/>
  <c r="W24" i="8" s="1"/>
  <c r="U23" i="12"/>
  <c r="AG21" i="12"/>
  <c r="Z15" i="12"/>
  <c r="U15" i="12"/>
  <c r="U17" i="12" s="1"/>
  <c r="R15" i="12"/>
  <c r="Q15" i="12"/>
  <c r="P15" i="12"/>
  <c r="O15" i="12"/>
  <c r="N15" i="12"/>
  <c r="M15" i="12"/>
  <c r="L15" i="12"/>
  <c r="L17" i="12" s="1"/>
  <c r="M4" i="7" s="1"/>
  <c r="M32" i="7" s="1"/>
  <c r="K15" i="12"/>
  <c r="K17" i="12" s="1"/>
  <c r="L4" i="7" s="1"/>
  <c r="J15" i="12"/>
  <c r="J17" i="12" s="1"/>
  <c r="K4" i="7" s="1"/>
  <c r="I15" i="12"/>
  <c r="I17" i="12" s="1"/>
  <c r="J4" i="7" s="1"/>
  <c r="H15" i="12"/>
  <c r="H17" i="12" s="1"/>
  <c r="I4" i="7" s="1"/>
  <c r="G15" i="12"/>
  <c r="AC13" i="12"/>
  <c r="AD13" i="12" s="1"/>
  <c r="AE13" i="12" s="1"/>
  <c r="AF13" i="12" s="1"/>
  <c r="S13" i="12"/>
  <c r="AD12" i="12"/>
  <c r="AE12" i="12" s="1"/>
  <c r="AF12" i="12" s="1"/>
  <c r="S12" i="12"/>
  <c r="AA11" i="12"/>
  <c r="AB11" i="12" s="1"/>
  <c r="AC11" i="12" s="1"/>
  <c r="AD11" i="12" s="1"/>
  <c r="AE11" i="12" s="1"/>
  <c r="AF11" i="12" s="1"/>
  <c r="S11" i="12"/>
  <c r="AA10" i="12"/>
  <c r="AB10" i="12" s="1"/>
  <c r="AC10" i="12" s="1"/>
  <c r="AD10" i="12" s="1"/>
  <c r="AE10" i="12" s="1"/>
  <c r="AF10" i="12" s="1"/>
  <c r="S10" i="12"/>
  <c r="AA9" i="12"/>
  <c r="S9" i="12"/>
  <c r="AA8" i="12"/>
  <c r="AB8" i="12" s="1"/>
  <c r="AC8" i="12" s="1"/>
  <c r="AD8" i="12" s="1"/>
  <c r="V8" i="12"/>
  <c r="W8" i="12" s="1"/>
  <c r="S8" i="12"/>
  <c r="I202" i="11"/>
  <c r="G202" i="11"/>
  <c r="I38" i="13" s="1"/>
  <c r="I40" i="13" s="1"/>
  <c r="D180" i="11"/>
  <c r="D174" i="11"/>
  <c r="D168" i="11"/>
  <c r="F165" i="11"/>
  <c r="G156" i="11"/>
  <c r="H38" i="13" s="1"/>
  <c r="H40" i="13" s="1"/>
  <c r="D134" i="11"/>
  <c r="D128" i="11"/>
  <c r="D122" i="11"/>
  <c r="D115" i="11"/>
  <c r="I110" i="11"/>
  <c r="D87" i="11"/>
  <c r="D84" i="11"/>
  <c r="D131" i="11" s="1"/>
  <c r="D177" i="11" s="1"/>
  <c r="D81" i="11"/>
  <c r="D75" i="11"/>
  <c r="C68" i="11"/>
  <c r="D47" i="11"/>
  <c r="D41" i="11"/>
  <c r="D35" i="11"/>
  <c r="C28" i="11"/>
  <c r="H15" i="11"/>
  <c r="J15" i="11" s="1"/>
  <c r="F10" i="9" s="1"/>
  <c r="G12" i="11"/>
  <c r="H9" i="11"/>
  <c r="G9" i="11"/>
  <c r="E35" i="11" s="1"/>
  <c r="E75" i="11" s="1"/>
  <c r="E122" i="11" s="1"/>
  <c r="E168" i="11" s="1"/>
  <c r="E216" i="11" s="1"/>
  <c r="C2" i="11"/>
  <c r="D49" i="10"/>
  <c r="H48" i="10"/>
  <c r="D48" i="10"/>
  <c r="D43" i="10"/>
  <c r="C43" i="10"/>
  <c r="D40" i="10"/>
  <c r="C40" i="10"/>
  <c r="C39" i="10"/>
  <c r="D37" i="10"/>
  <c r="C37" i="10"/>
  <c r="D36" i="10"/>
  <c r="C36" i="10"/>
  <c r="D34" i="10"/>
  <c r="C34" i="10"/>
  <c r="D33" i="10"/>
  <c r="D32" i="10"/>
  <c r="C32" i="10"/>
  <c r="D31" i="10"/>
  <c r="C31" i="10"/>
  <c r="D30" i="10"/>
  <c r="C30" i="10"/>
  <c r="D29" i="10"/>
  <c r="C29" i="10"/>
  <c r="D28" i="10"/>
  <c r="D26" i="10"/>
  <c r="D23" i="10"/>
  <c r="C23" i="10"/>
  <c r="C24" i="10" s="1"/>
  <c r="D22" i="10"/>
  <c r="E15" i="13" s="1"/>
  <c r="D19" i="10"/>
  <c r="C19" i="10"/>
  <c r="C11" i="10"/>
  <c r="D10" i="10"/>
  <c r="C9" i="10"/>
  <c r="D7" i="10"/>
  <c r="F50" i="9"/>
  <c r="D47" i="9"/>
  <c r="F46" i="9"/>
  <c r="F45" i="9"/>
  <c r="F29" i="13" s="1"/>
  <c r="D45" i="9"/>
  <c r="F43" i="9"/>
  <c r="J40" i="9"/>
  <c r="I40" i="9"/>
  <c r="H40" i="9"/>
  <c r="G40" i="9"/>
  <c r="D39" i="9"/>
  <c r="F44" i="9"/>
  <c r="D44" i="9"/>
  <c r="D48" i="13" s="1"/>
  <c r="F28" i="9"/>
  <c r="D28" i="9"/>
  <c r="F22" i="9"/>
  <c r="D22" i="9"/>
  <c r="D25" i="13" s="1"/>
  <c r="D19" i="9"/>
  <c r="D60" i="13" s="1"/>
  <c r="D62" i="13" s="1"/>
  <c r="D17" i="9"/>
  <c r="D24" i="13" s="1"/>
  <c r="F16" i="9"/>
  <c r="D16" i="9"/>
  <c r="F15" i="9"/>
  <c r="E22" i="13" s="1"/>
  <c r="D11" i="9"/>
  <c r="AD45" i="8"/>
  <c r="AC45" i="8"/>
  <c r="AA45" i="8"/>
  <c r="Z45" i="8"/>
  <c r="Y45" i="8"/>
  <c r="X45" i="8"/>
  <c r="W45" i="8"/>
  <c r="V45" i="8"/>
  <c r="S45" i="8"/>
  <c r="R45" i="8"/>
  <c r="Q45" i="8"/>
  <c r="P45" i="8"/>
  <c r="O45" i="8"/>
  <c r="N45" i="8"/>
  <c r="M45" i="8"/>
  <c r="L45" i="8"/>
  <c r="K45" i="8"/>
  <c r="J45" i="8"/>
  <c r="I45" i="8"/>
  <c r="H45" i="8"/>
  <c r="B45" i="8"/>
  <c r="B43" i="8"/>
  <c r="BY37" i="8"/>
  <c r="BK37" i="8"/>
  <c r="AW37" i="8"/>
  <c r="AA37" i="8"/>
  <c r="T37" i="8"/>
  <c r="AB36" i="8"/>
  <c r="BY34" i="8"/>
  <c r="BK34" i="8"/>
  <c r="AW34" i="8"/>
  <c r="X34" i="8"/>
  <c r="W34" i="8"/>
  <c r="T34" i="8"/>
  <c r="AF33" i="8"/>
  <c r="AE33" i="8"/>
  <c r="AD33" i="8"/>
  <c r="AC33" i="8"/>
  <c r="AA33" i="8"/>
  <c r="Z33" i="8"/>
  <c r="Y33" i="8"/>
  <c r="X33" i="8"/>
  <c r="W33" i="8"/>
  <c r="V33" i="8"/>
  <c r="S33" i="8"/>
  <c r="R33" i="8"/>
  <c r="Q33" i="8"/>
  <c r="P33" i="8"/>
  <c r="O33" i="8"/>
  <c r="N33" i="8"/>
  <c r="M33" i="8"/>
  <c r="L33" i="8"/>
  <c r="K33" i="8"/>
  <c r="J33" i="8"/>
  <c r="I33" i="8"/>
  <c r="H33" i="8"/>
  <c r="B33" i="8"/>
  <c r="BY32" i="8"/>
  <c r="BK32" i="8"/>
  <c r="AW32" i="8"/>
  <c r="AB32" i="8"/>
  <c r="AI32" i="8" s="1"/>
  <c r="T32" i="8"/>
  <c r="B31" i="8"/>
  <c r="BY29" i="8"/>
  <c r="BK29" i="8"/>
  <c r="AW29" i="8"/>
  <c r="BY28" i="8"/>
  <c r="BK28" i="8"/>
  <c r="U28" i="8"/>
  <c r="T28" i="8"/>
  <c r="B28" i="8"/>
  <c r="B27" i="8"/>
  <c r="B26" i="8"/>
  <c r="Y23" i="8"/>
  <c r="X23" i="8"/>
  <c r="W23" i="8"/>
  <c r="V23" i="8"/>
  <c r="S23" i="8"/>
  <c r="R23" i="8"/>
  <c r="Q23" i="8"/>
  <c r="P23" i="8"/>
  <c r="O23" i="8"/>
  <c r="N23" i="8"/>
  <c r="M23" i="8"/>
  <c r="L23" i="8"/>
  <c r="K23" i="8"/>
  <c r="J23" i="8"/>
  <c r="I23" i="8"/>
  <c r="H23" i="8"/>
  <c r="B23" i="8"/>
  <c r="AD22" i="8"/>
  <c r="AC22" i="8"/>
  <c r="AA22" i="8"/>
  <c r="Z22" i="8"/>
  <c r="Y22" i="8"/>
  <c r="X22" i="8"/>
  <c r="W22" i="8"/>
  <c r="V22" i="8"/>
  <c r="S22" i="8"/>
  <c r="R22" i="8"/>
  <c r="Q22" i="8"/>
  <c r="P22" i="8"/>
  <c r="O22" i="8"/>
  <c r="N22" i="8"/>
  <c r="M22" i="8"/>
  <c r="L22" i="8"/>
  <c r="K22" i="8"/>
  <c r="J22" i="8"/>
  <c r="I22" i="8"/>
  <c r="H22" i="8"/>
  <c r="B22" i="8"/>
  <c r="AB21" i="8"/>
  <c r="AB20" i="8"/>
  <c r="AB18" i="8"/>
  <c r="AI18" i="8" s="1"/>
  <c r="S18" i="8"/>
  <c r="T18" i="8" s="1"/>
  <c r="AB17" i="8"/>
  <c r="S17" i="8"/>
  <c r="T17" i="8" s="1"/>
  <c r="BN16" i="8"/>
  <c r="AZ16" i="8"/>
  <c r="AL16" i="8"/>
  <c r="AG16" i="8"/>
  <c r="AH16" i="8" s="1"/>
  <c r="W16" i="8"/>
  <c r="AB16" i="8" s="1"/>
  <c r="Q16" i="8"/>
  <c r="P16" i="8"/>
  <c r="O16" i="8"/>
  <c r="AM15" i="8"/>
  <c r="AK15" i="8"/>
  <c r="AR15" i="8" s="1"/>
  <c r="AB15" i="8"/>
  <c r="AI15" i="8" s="1"/>
  <c r="T15" i="8"/>
  <c r="AD14" i="8"/>
  <c r="AC14" i="8"/>
  <c r="AA14" i="8"/>
  <c r="Z14" i="8"/>
  <c r="Y14" i="8"/>
  <c r="X14" i="8"/>
  <c r="W14" i="8"/>
  <c r="V14" i="8"/>
  <c r="S14" i="8"/>
  <c r="R14" i="8"/>
  <c r="Q14" i="8"/>
  <c r="P14" i="8"/>
  <c r="O14" i="8"/>
  <c r="N14" i="8"/>
  <c r="M14" i="8"/>
  <c r="L14" i="8"/>
  <c r="K14" i="8"/>
  <c r="J14" i="8"/>
  <c r="I14" i="8"/>
  <c r="H14" i="8"/>
  <c r="B14" i="8"/>
  <c r="AF13" i="8"/>
  <c r="BY12" i="8"/>
  <c r="BK12" i="8"/>
  <c r="AB12" i="8"/>
  <c r="T12" i="8"/>
  <c r="BY11" i="8"/>
  <c r="BK11" i="8"/>
  <c r="AW11" i="8"/>
  <c r="AH11" i="8"/>
  <c r="AG11" i="8"/>
  <c r="AF11" i="8"/>
  <c r="AE11" i="8"/>
  <c r="AD11" i="8"/>
  <c r="AC11" i="8"/>
  <c r="Y11" i="8"/>
  <c r="X11" i="8"/>
  <c r="T11" i="8"/>
  <c r="BY10" i="8"/>
  <c r="BK10" i="8"/>
  <c r="AW10" i="8"/>
  <c r="AA10" i="8"/>
  <c r="X10" i="8"/>
  <c r="T10" i="8"/>
  <c r="AY9" i="8"/>
  <c r="AV9" i="8"/>
  <c r="AU9" i="8"/>
  <c r="AT9" i="8"/>
  <c r="AS9" i="8"/>
  <c r="AR9" i="8"/>
  <c r="AQ9" i="8"/>
  <c r="AP9" i="8"/>
  <c r="AO9" i="8"/>
  <c r="AN9" i="8"/>
  <c r="AM9" i="8"/>
  <c r="AL9" i="8"/>
  <c r="AK9" i="8"/>
  <c r="AH9" i="8"/>
  <c r="AG9" i="8"/>
  <c r="AF9" i="8"/>
  <c r="AE9" i="8"/>
  <c r="AD9" i="8"/>
  <c r="AC9" i="8"/>
  <c r="AA9" i="8"/>
  <c r="Z9" i="8"/>
  <c r="Y9" i="8"/>
  <c r="X9" i="8"/>
  <c r="Q9" i="8"/>
  <c r="P9" i="8"/>
  <c r="O9" i="8"/>
  <c r="N9" i="8"/>
  <c r="L9" i="8"/>
  <c r="K9" i="8"/>
  <c r="J9" i="8"/>
  <c r="I9" i="8"/>
  <c r="H9" i="8"/>
  <c r="BY8" i="8"/>
  <c r="BK8" i="8"/>
  <c r="AW8" i="8"/>
  <c r="BY7" i="8"/>
  <c r="BK7" i="8"/>
  <c r="AD5" i="8"/>
  <c r="AC5" i="8"/>
  <c r="AA5" i="8"/>
  <c r="Z5" i="8"/>
  <c r="Y5" i="8"/>
  <c r="X5" i="8"/>
  <c r="W5" i="8"/>
  <c r="V5" i="8"/>
  <c r="S5" i="8"/>
  <c r="R5" i="8"/>
  <c r="Q5" i="8"/>
  <c r="P5" i="8"/>
  <c r="O5" i="8"/>
  <c r="N5" i="8"/>
  <c r="M5" i="8"/>
  <c r="L5" i="8"/>
  <c r="K5" i="8"/>
  <c r="J5" i="8"/>
  <c r="I5" i="8"/>
  <c r="H5" i="8"/>
  <c r="B5" i="8"/>
  <c r="BY4" i="8"/>
  <c r="BK4" i="8"/>
  <c r="AL4" i="8"/>
  <c r="AK4" i="8"/>
  <c r="AI4" i="8"/>
  <c r="BX46" i="7"/>
  <c r="BJ46" i="7"/>
  <c r="B40" i="7"/>
  <c r="Y39" i="7"/>
  <c r="X39" i="7"/>
  <c r="W39" i="7"/>
  <c r="V39" i="7"/>
  <c r="S39" i="7"/>
  <c r="R39" i="7"/>
  <c r="Q39" i="7"/>
  <c r="P39" i="7"/>
  <c r="O39" i="7"/>
  <c r="N39" i="7"/>
  <c r="M39" i="7"/>
  <c r="L39" i="7"/>
  <c r="K39" i="7"/>
  <c r="J39" i="7"/>
  <c r="I39" i="7"/>
  <c r="H39" i="7"/>
  <c r="F39" i="7"/>
  <c r="G39" i="7" s="1"/>
  <c r="D39" i="7"/>
  <c r="B39" i="7"/>
  <c r="Y38" i="7"/>
  <c r="Y40" i="7" s="1"/>
  <c r="X38" i="7"/>
  <c r="X40" i="7" s="1"/>
  <c r="W38" i="7"/>
  <c r="V38" i="7"/>
  <c r="S38" i="7"/>
  <c r="R38" i="7"/>
  <c r="Q38" i="7"/>
  <c r="P38" i="7"/>
  <c r="P40" i="7" s="1"/>
  <c r="O38" i="7"/>
  <c r="O40" i="7" s="1"/>
  <c r="N38" i="7"/>
  <c r="N40" i="7" s="1"/>
  <c r="M38" i="7"/>
  <c r="L38" i="7"/>
  <c r="K38" i="7"/>
  <c r="J38" i="7"/>
  <c r="I38" i="7"/>
  <c r="H38" i="7"/>
  <c r="H40" i="7" s="1"/>
  <c r="F38" i="7"/>
  <c r="B38" i="7"/>
  <c r="B37" i="7"/>
  <c r="L35" i="7"/>
  <c r="L27" i="8" s="1"/>
  <c r="K35" i="7"/>
  <c r="K27" i="8" s="1"/>
  <c r="J35" i="7"/>
  <c r="J27" i="8" s="1"/>
  <c r="I35" i="7"/>
  <c r="I27" i="8" s="1"/>
  <c r="H35" i="7"/>
  <c r="F35" i="7"/>
  <c r="G35" i="7" s="1"/>
  <c r="T34" i="7"/>
  <c r="T33" i="7"/>
  <c r="G33" i="7"/>
  <c r="G32" i="7"/>
  <c r="T31" i="7"/>
  <c r="G31" i="7"/>
  <c r="X30" i="7"/>
  <c r="AA30" i="7" s="1"/>
  <c r="T30" i="7"/>
  <c r="C30" i="7"/>
  <c r="D30" i="7" s="1"/>
  <c r="BG30" i="7" s="1"/>
  <c r="T29" i="7"/>
  <c r="G29" i="7"/>
  <c r="D29" i="7"/>
  <c r="S28" i="7"/>
  <c r="T28" i="7" s="1"/>
  <c r="G28" i="7"/>
  <c r="D28" i="7"/>
  <c r="AC27" i="7"/>
  <c r="T27" i="7"/>
  <c r="G27" i="7"/>
  <c r="D27" i="7"/>
  <c r="AA27" i="7" s="1"/>
  <c r="T26" i="7"/>
  <c r="G26" i="7"/>
  <c r="D26" i="7"/>
  <c r="Y26" i="7" s="1"/>
  <c r="T25" i="7"/>
  <c r="D27" i="10" s="1"/>
  <c r="G25" i="7"/>
  <c r="D25" i="7"/>
  <c r="X25" i="7" s="1"/>
  <c r="T24" i="7"/>
  <c r="G24" i="7"/>
  <c r="C24" i="7"/>
  <c r="BW23" i="7"/>
  <c r="BV23" i="7"/>
  <c r="BU23" i="7"/>
  <c r="BT23" i="7"/>
  <c r="BS23" i="7"/>
  <c r="BR23" i="7"/>
  <c r="BQ23" i="7"/>
  <c r="BP23" i="7"/>
  <c r="BO23" i="7"/>
  <c r="BN23" i="7"/>
  <c r="BM23" i="7"/>
  <c r="BL23" i="7"/>
  <c r="BI23" i="7"/>
  <c r="BH23" i="7"/>
  <c r="BG23" i="7"/>
  <c r="BF23" i="7"/>
  <c r="BE23" i="7"/>
  <c r="BD23" i="7"/>
  <c r="BC23" i="7"/>
  <c r="BB23" i="7"/>
  <c r="BA23" i="7"/>
  <c r="AZ23" i="7"/>
  <c r="AY23" i="7"/>
  <c r="AX23" i="7"/>
  <c r="AU23" i="7"/>
  <c r="AT23" i="7"/>
  <c r="AS23" i="7"/>
  <c r="AR23" i="7"/>
  <c r="AQ23" i="7"/>
  <c r="AP23" i="7"/>
  <c r="AO23" i="7"/>
  <c r="AN23" i="7"/>
  <c r="AM23" i="7"/>
  <c r="AL23" i="7"/>
  <c r="AK23" i="7"/>
  <c r="AJ23" i="7"/>
  <c r="AE23" i="7"/>
  <c r="Z23" i="7"/>
  <c r="X23" i="7"/>
  <c r="T23" i="7"/>
  <c r="G23" i="7"/>
  <c r="D23" i="7"/>
  <c r="AD23" i="7" s="1"/>
  <c r="AH22" i="7"/>
  <c r="T22" i="7"/>
  <c r="BU21" i="7"/>
  <c r="BM21" i="7"/>
  <c r="BI21" i="7"/>
  <c r="AY21" i="7"/>
  <c r="AM21" i="7"/>
  <c r="AL21" i="7"/>
  <c r="T21" i="7"/>
  <c r="G21" i="7"/>
  <c r="C21" i="7"/>
  <c r="BV21" i="7" s="1"/>
  <c r="T20" i="7"/>
  <c r="S20" i="7"/>
  <c r="G20" i="7"/>
  <c r="D20" i="7"/>
  <c r="BW19" i="7"/>
  <c r="BV19" i="7"/>
  <c r="BU19" i="7"/>
  <c r="BT19" i="7"/>
  <c r="BS19" i="7"/>
  <c r="BR19" i="7"/>
  <c r="BQ19" i="7"/>
  <c r="BP19" i="7"/>
  <c r="BO19" i="7"/>
  <c r="BN19" i="7"/>
  <c r="BM19" i="7"/>
  <c r="BL19" i="7"/>
  <c r="BI19" i="7"/>
  <c r="BH19" i="7"/>
  <c r="BG19" i="7"/>
  <c r="BF19" i="7"/>
  <c r="BE19" i="7"/>
  <c r="BD19" i="7"/>
  <c r="BC19" i="7"/>
  <c r="BB19" i="7"/>
  <c r="BA19" i="7"/>
  <c r="AZ19" i="7"/>
  <c r="AY19" i="7"/>
  <c r="AX19" i="7"/>
  <c r="AU19" i="7"/>
  <c r="AT19" i="7"/>
  <c r="AS19" i="7"/>
  <c r="AR19" i="7"/>
  <c r="AQ19" i="7"/>
  <c r="AP19" i="7"/>
  <c r="AO19" i="7"/>
  <c r="AN19" i="7"/>
  <c r="AM19" i="7"/>
  <c r="AL19" i="7"/>
  <c r="AK19" i="7"/>
  <c r="AJ19" i="7"/>
  <c r="AG19" i="7"/>
  <c r="AF19" i="7"/>
  <c r="AE19" i="7"/>
  <c r="AD19" i="7"/>
  <c r="AC19" i="7"/>
  <c r="AB19" i="7"/>
  <c r="T19" i="7"/>
  <c r="G19" i="7"/>
  <c r="D19" i="7"/>
  <c r="T18" i="7"/>
  <c r="C18" i="7"/>
  <c r="D18" i="7" s="1"/>
  <c r="BM18" i="7" s="1"/>
  <c r="AH17" i="7"/>
  <c r="T17" i="7"/>
  <c r="T16" i="7"/>
  <c r="U15" i="7"/>
  <c r="AD16" i="7" s="1"/>
  <c r="S13" i="7"/>
  <c r="S26" i="8" s="1"/>
  <c r="N13" i="7"/>
  <c r="N26" i="8" s="1"/>
  <c r="L13" i="7"/>
  <c r="L26" i="8" s="1"/>
  <c r="K13" i="7"/>
  <c r="J13" i="7"/>
  <c r="I13" i="7"/>
  <c r="H13" i="7"/>
  <c r="H26" i="8" s="1"/>
  <c r="F13" i="7"/>
  <c r="G13" i="7" s="1"/>
  <c r="BJ12" i="7"/>
  <c r="AH12" i="7"/>
  <c r="M12" i="7"/>
  <c r="T12" i="7" s="1"/>
  <c r="G12" i="7"/>
  <c r="AD11" i="7"/>
  <c r="R11" i="7"/>
  <c r="R13" i="7" s="1"/>
  <c r="Q11" i="7"/>
  <c r="Q13" i="7" s="1"/>
  <c r="P11" i="7"/>
  <c r="P13" i="7" s="1"/>
  <c r="O11" i="7"/>
  <c r="T11" i="7" s="1"/>
  <c r="G11" i="7"/>
  <c r="D11" i="7"/>
  <c r="T10" i="7"/>
  <c r="G10" i="7"/>
  <c r="D10" i="7"/>
  <c r="U9" i="7"/>
  <c r="AA10" i="7" s="1"/>
  <c r="R7" i="7"/>
  <c r="Q7" i="7"/>
  <c r="Q24" i="8" s="1"/>
  <c r="P7" i="7"/>
  <c r="O7" i="7"/>
  <c r="O24" i="8" s="1"/>
  <c r="N7" i="7"/>
  <c r="M7" i="7"/>
  <c r="L7" i="7"/>
  <c r="K7" i="7"/>
  <c r="K24" i="8" s="1"/>
  <c r="J7" i="7"/>
  <c r="I7" i="7"/>
  <c r="H7" i="7"/>
  <c r="F7" i="7"/>
  <c r="G7" i="7" s="1"/>
  <c r="AB6" i="7"/>
  <c r="Z6" i="7"/>
  <c r="S6" i="7"/>
  <c r="S7" i="7" s="1"/>
  <c r="AF5" i="7"/>
  <c r="AD5" i="7"/>
  <c r="AE24" i="8" s="1"/>
  <c r="X5" i="7"/>
  <c r="V5" i="7"/>
  <c r="T5" i="7"/>
  <c r="G5" i="7"/>
  <c r="BK4" i="7"/>
  <c r="AW4" i="7"/>
  <c r="AI4" i="7"/>
  <c r="AH19" i="12" s="1"/>
  <c r="U4" i="7"/>
  <c r="S4" i="7"/>
  <c r="T4" i="7" s="1"/>
  <c r="R4" i="7"/>
  <c r="R32" i="7" s="1"/>
  <c r="R35" i="7" s="1"/>
  <c r="R27" i="8" s="1"/>
  <c r="Q4" i="7"/>
  <c r="Q32" i="7" s="1"/>
  <c r="Q35" i="7" s="1"/>
  <c r="Q27" i="8" s="1"/>
  <c r="P4" i="7"/>
  <c r="P32" i="7" s="1"/>
  <c r="P35" i="7" s="1"/>
  <c r="P27" i="8" s="1"/>
  <c r="O4" i="7"/>
  <c r="O32" i="7" s="1"/>
  <c r="O35" i="7" s="1"/>
  <c r="N4" i="7"/>
  <c r="N32" i="7" s="1"/>
  <c r="N35" i="7" s="1"/>
  <c r="G4" i="7"/>
  <c r="S26" i="6"/>
  <c r="T26" i="6" s="1"/>
  <c r="T25" i="6"/>
  <c r="S24" i="6"/>
  <c r="T24" i="6" s="1"/>
  <c r="T23" i="6"/>
  <c r="S22" i="6"/>
  <c r="T22" i="6" s="1"/>
  <c r="BJ18" i="6"/>
  <c r="G48" i="10" s="1"/>
  <c r="AV18" i="6"/>
  <c r="F48" i="10" s="1"/>
  <c r="AH18" i="6"/>
  <c r="E17" i="6"/>
  <c r="Y17" i="6" s="1"/>
  <c r="AB14" i="6"/>
  <c r="AC14" i="6" s="1"/>
  <c r="AD14" i="6" s="1"/>
  <c r="AE14" i="6" s="1"/>
  <c r="AF14" i="6" s="1"/>
  <c r="E11" i="6"/>
  <c r="BN11" i="6" s="1"/>
  <c r="BW10" i="6"/>
  <c r="BV10" i="6"/>
  <c r="BU10" i="6"/>
  <c r="BT10" i="6"/>
  <c r="BS10" i="6"/>
  <c r="BR10" i="6"/>
  <c r="BQ10" i="6"/>
  <c r="BP10" i="6"/>
  <c r="BO10" i="6"/>
  <c r="BN10" i="6"/>
  <c r="BM10" i="6"/>
  <c r="BL10" i="6"/>
  <c r="BI10" i="6"/>
  <c r="BH10" i="6"/>
  <c r="BG10" i="6"/>
  <c r="BF10" i="6"/>
  <c r="BE10" i="6"/>
  <c r="BD10" i="6"/>
  <c r="BC10" i="6"/>
  <c r="BB10" i="6"/>
  <c r="BA10" i="6"/>
  <c r="AZ10" i="6"/>
  <c r="AY10" i="6"/>
  <c r="AX10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G10" i="6"/>
  <c r="AF10" i="6"/>
  <c r="AE10" i="6"/>
  <c r="AD10" i="6"/>
  <c r="AC10" i="6"/>
  <c r="AB10" i="6"/>
  <c r="AA10" i="6"/>
  <c r="Z10" i="6"/>
  <c r="Y10" i="6"/>
  <c r="X10" i="6"/>
  <c r="W10" i="6"/>
  <c r="AY5" i="6"/>
  <c r="AZ9" i="8" s="1"/>
  <c r="AV5" i="6"/>
  <c r="W5" i="6"/>
  <c r="W9" i="8" s="1"/>
  <c r="V5" i="6"/>
  <c r="S5" i="6"/>
  <c r="S9" i="8" s="1"/>
  <c r="R5" i="6"/>
  <c r="R9" i="8" s="1"/>
  <c r="M5" i="6"/>
  <c r="M9" i="8" s="1"/>
  <c r="AJ4" i="6"/>
  <c r="AJ6" i="6" s="1"/>
  <c r="AU30" i="5"/>
  <c r="AG30" i="5"/>
  <c r="S30" i="5"/>
  <c r="AU29" i="5"/>
  <c r="AG29" i="5"/>
  <c r="S29" i="5"/>
  <c r="AU28" i="5"/>
  <c r="AG28" i="5"/>
  <c r="S28" i="5"/>
  <c r="E28" i="5"/>
  <c r="AU27" i="5"/>
  <c r="AG27" i="5"/>
  <c r="S27" i="5"/>
  <c r="AU26" i="5"/>
  <c r="AG26" i="5"/>
  <c r="S26" i="5"/>
  <c r="AU25" i="5"/>
  <c r="AG25" i="5"/>
  <c r="S25" i="5"/>
  <c r="AU24" i="5"/>
  <c r="AG24" i="5"/>
  <c r="S24" i="5"/>
  <c r="AU21" i="5"/>
  <c r="AV7" i="8" s="1"/>
  <c r="AT21" i="5"/>
  <c r="AU7" i="8" s="1"/>
  <c r="AS21" i="5"/>
  <c r="AT7" i="8" s="1"/>
  <c r="AR21" i="5"/>
  <c r="AS7" i="8" s="1"/>
  <c r="AQ21" i="5"/>
  <c r="AR7" i="8" s="1"/>
  <c r="AO21" i="5"/>
  <c r="AP7" i="8" s="1"/>
  <c r="AN21" i="5"/>
  <c r="AO7" i="8" s="1"/>
  <c r="AK21" i="5"/>
  <c r="AL7" i="8" s="1"/>
  <c r="AJ21" i="5"/>
  <c r="AK7" i="8" s="1"/>
  <c r="AE21" i="5"/>
  <c r="AF7" i="8" s="1"/>
  <c r="AD21" i="5"/>
  <c r="AE7" i="8" s="1"/>
  <c r="AC21" i="5"/>
  <c r="AD7" i="8" s="1"/>
  <c r="AB21" i="5"/>
  <c r="AC7" i="8" s="1"/>
  <c r="AA21" i="5"/>
  <c r="AA7" i="8" s="1"/>
  <c r="Z21" i="5"/>
  <c r="Z7" i="8" s="1"/>
  <c r="Y21" i="5"/>
  <c r="Y7" i="8" s="1"/>
  <c r="X21" i="5"/>
  <c r="X7" i="8" s="1"/>
  <c r="W21" i="5"/>
  <c r="W7" i="8" s="1"/>
  <c r="S21" i="5"/>
  <c r="S7" i="8" s="1"/>
  <c r="R21" i="5"/>
  <c r="R7" i="8" s="1"/>
  <c r="O21" i="5"/>
  <c r="O7" i="8" s="1"/>
  <c r="N21" i="5"/>
  <c r="N7" i="8" s="1"/>
  <c r="M21" i="5"/>
  <c r="M7" i="8" s="1"/>
  <c r="L21" i="5"/>
  <c r="L7" i="8" s="1"/>
  <c r="K21" i="5"/>
  <c r="K7" i="8" s="1"/>
  <c r="J21" i="5"/>
  <c r="J7" i="8" s="1"/>
  <c r="I21" i="5"/>
  <c r="I7" i="8" s="1"/>
  <c r="H21" i="5"/>
  <c r="H7" i="8" s="1"/>
  <c r="E20" i="5"/>
  <c r="E19" i="5"/>
  <c r="AV18" i="5"/>
  <c r="AV28" i="5" s="1"/>
  <c r="AH18" i="5"/>
  <c r="AH28" i="5" s="1"/>
  <c r="T18" i="5"/>
  <c r="T28" i="5" s="1"/>
  <c r="AV17" i="5"/>
  <c r="AH17" i="5"/>
  <c r="T17" i="5"/>
  <c r="AV16" i="5"/>
  <c r="AH16" i="5"/>
  <c r="E16" i="5"/>
  <c r="Q16" i="5" s="1"/>
  <c r="Q21" i="5" s="1"/>
  <c r="Q7" i="8" s="1"/>
  <c r="AV15" i="5"/>
  <c r="AF15" i="5"/>
  <c r="AH15" i="5" s="1"/>
  <c r="T15" i="5"/>
  <c r="AV14" i="5"/>
  <c r="AG14" i="5"/>
  <c r="AH14" i="5" s="1"/>
  <c r="T14" i="5"/>
  <c r="P14" i="5"/>
  <c r="E25" i="5" s="1"/>
  <c r="AV13" i="5"/>
  <c r="AH13" i="5"/>
  <c r="T13" i="5"/>
  <c r="E13" i="5"/>
  <c r="S102" i="11"/>
  <c r="AV11" i="5"/>
  <c r="AH11" i="5"/>
  <c r="AH29" i="5" s="1"/>
  <c r="T11" i="5"/>
  <c r="AV10" i="5"/>
  <c r="T10" i="5"/>
  <c r="E10" i="5"/>
  <c r="AV9" i="5"/>
  <c r="AW9" i="5" s="1"/>
  <c r="AH9" i="5"/>
  <c r="T9" i="5"/>
  <c r="AL8" i="5"/>
  <c r="AV8" i="5" s="1"/>
  <c r="AV25" i="5" s="1"/>
  <c r="AH8" i="5"/>
  <c r="T8" i="5"/>
  <c r="AV7" i="5"/>
  <c r="AH7" i="5"/>
  <c r="T7" i="5"/>
  <c r="T24" i="5" s="1"/>
  <c r="E7" i="5"/>
  <c r="AV6" i="5"/>
  <c r="AH6" i="5"/>
  <c r="T6" i="5"/>
  <c r="AG72" i="4"/>
  <c r="AG70" i="4" s="1"/>
  <c r="G44" i="11" s="1"/>
  <c r="F67" i="4"/>
  <c r="D67" i="4"/>
  <c r="AG65" i="4"/>
  <c r="S65" i="4"/>
  <c r="S64" i="4"/>
  <c r="S66" i="4" s="1"/>
  <c r="S67" i="4" s="1"/>
  <c r="AK62" i="4"/>
  <c r="AI60" i="4"/>
  <c r="AH60" i="4"/>
  <c r="X60" i="4"/>
  <c r="W60" i="4"/>
  <c r="W62" i="4" s="1"/>
  <c r="V60" i="4"/>
  <c r="V62" i="4" s="1"/>
  <c r="S60" i="4"/>
  <c r="S62" i="4" s="1"/>
  <c r="R60" i="4"/>
  <c r="Q60" i="4"/>
  <c r="Q62" i="4" s="1"/>
  <c r="P60" i="4"/>
  <c r="O60" i="4"/>
  <c r="N60" i="4"/>
  <c r="M60" i="4"/>
  <c r="M62" i="4" s="1"/>
  <c r="L60" i="4"/>
  <c r="L62" i="4" s="1"/>
  <c r="K60" i="4"/>
  <c r="K62" i="4" s="1"/>
  <c r="J60" i="4"/>
  <c r="I60" i="4"/>
  <c r="H60" i="4"/>
  <c r="AJ46" i="4"/>
  <c r="AG21" i="4"/>
  <c r="AF21" i="4"/>
  <c r="AE21" i="4"/>
  <c r="AD21" i="4"/>
  <c r="AC21" i="4"/>
  <c r="F21" i="4"/>
  <c r="F68" i="4" s="1"/>
  <c r="D21" i="4"/>
  <c r="C21" i="4"/>
  <c r="AD19" i="4"/>
  <c r="AD18" i="4"/>
  <c r="AD17" i="4"/>
  <c r="AB16" i="4"/>
  <c r="AD16" i="4" s="1"/>
  <c r="AJ15" i="4"/>
  <c r="G93" i="11" s="1"/>
  <c r="H93" i="11" s="1"/>
  <c r="AC15" i="4"/>
  <c r="AB15" i="4"/>
  <c r="F15" i="4"/>
  <c r="C15" i="4"/>
  <c r="C3" i="4" s="1"/>
  <c r="AL14" i="4"/>
  <c r="AD14" i="4"/>
  <c r="F13" i="4"/>
  <c r="AB12" i="4"/>
  <c r="AD12" i="4" s="1"/>
  <c r="F12" i="4"/>
  <c r="AF11" i="4"/>
  <c r="AF3" i="4" s="1"/>
  <c r="AA11" i="4"/>
  <c r="AC10" i="4"/>
  <c r="F10" i="4"/>
  <c r="AA9" i="4"/>
  <c r="F8" i="4"/>
  <c r="AD8" i="4" s="1"/>
  <c r="AL8" i="4" s="1"/>
  <c r="F7" i="4"/>
  <c r="AD7" i="4" s="1"/>
  <c r="F6" i="4"/>
  <c r="AD5" i="4"/>
  <c r="AL5" i="4" s="1"/>
  <c r="AD4" i="4"/>
  <c r="AL4" i="4" s="1"/>
  <c r="AK3" i="4"/>
  <c r="AK60" i="4" s="1"/>
  <c r="AJ3" i="4"/>
  <c r="AJ60" i="4" s="1"/>
  <c r="AG3" i="4"/>
  <c r="AG60" i="4" s="1"/>
  <c r="AE3" i="4"/>
  <c r="Z3" i="4"/>
  <c r="Z60" i="4" s="1"/>
  <c r="Y3" i="4"/>
  <c r="Y60" i="4" s="1"/>
  <c r="D3" i="4"/>
  <c r="D60" i="4" s="1"/>
  <c r="AC44" i="3"/>
  <c r="AC43" i="3"/>
  <c r="AC42" i="3"/>
  <c r="AJ30" i="3"/>
  <c r="AK6" i="8" s="1"/>
  <c r="AJ29" i="3"/>
  <c r="AK29" i="3" s="1"/>
  <c r="AL29" i="3" s="1"/>
  <c r="X29" i="3"/>
  <c r="W29" i="3"/>
  <c r="W30" i="3" s="1"/>
  <c r="W6" i="8" s="1"/>
  <c r="V29" i="3"/>
  <c r="V30" i="3" s="1"/>
  <c r="T29" i="3"/>
  <c r="S29" i="3"/>
  <c r="R29" i="3"/>
  <c r="Q29" i="3"/>
  <c r="P29" i="3"/>
  <c r="P30" i="3" s="1"/>
  <c r="P6" i="8" s="1"/>
  <c r="O29" i="3"/>
  <c r="N29" i="3"/>
  <c r="N30" i="3" s="1"/>
  <c r="N6" i="8" s="1"/>
  <c r="M29" i="3"/>
  <c r="M30" i="3" s="1"/>
  <c r="M6" i="8" s="1"/>
  <c r="L29" i="3"/>
  <c r="L30" i="3" s="1"/>
  <c r="L6" i="8" s="1"/>
  <c r="K29" i="3"/>
  <c r="J29" i="3"/>
  <c r="I29" i="3"/>
  <c r="H29" i="3"/>
  <c r="H30" i="3" s="1"/>
  <c r="H6" i="8" s="1"/>
  <c r="F29" i="3"/>
  <c r="G29" i="3" s="1"/>
  <c r="E29" i="3"/>
  <c r="E30" i="3" s="1"/>
  <c r="AJ28" i="3"/>
  <c r="T28" i="3"/>
  <c r="G28" i="3"/>
  <c r="AK27" i="3"/>
  <c r="AK30" i="3" s="1"/>
  <c r="AL6" i="8" s="1"/>
  <c r="X27" i="3"/>
  <c r="Y27" i="3" s="1"/>
  <c r="W27" i="3"/>
  <c r="V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F27" i="3"/>
  <c r="G27" i="3" s="1"/>
  <c r="E27" i="3"/>
  <c r="AC24" i="3"/>
  <c r="AC39" i="7" s="1"/>
  <c r="AB24" i="3"/>
  <c r="AB39" i="7" s="1"/>
  <c r="AA24" i="3"/>
  <c r="AA39" i="7" s="1"/>
  <c r="Z24" i="3"/>
  <c r="Z39" i="7" s="1"/>
  <c r="AC23" i="3"/>
  <c r="AC38" i="7" s="1"/>
  <c r="AB23" i="3"/>
  <c r="AB38" i="7" s="1"/>
  <c r="AA23" i="3"/>
  <c r="AA38" i="7" s="1"/>
  <c r="Z23" i="3"/>
  <c r="Z38" i="7" s="1"/>
  <c r="AC19" i="3"/>
  <c r="D18" i="3"/>
  <c r="AG15" i="3"/>
  <c r="AH12" i="8" s="1"/>
  <c r="AF15" i="3"/>
  <c r="AG12" i="8" s="1"/>
  <c r="AE15" i="3"/>
  <c r="AF12" i="8" s="1"/>
  <c r="AD15" i="3"/>
  <c r="AE12" i="8" s="1"/>
  <c r="AW10" i="3"/>
  <c r="BK10" i="3" s="1"/>
  <c r="D10" i="3"/>
  <c r="AV6" i="3"/>
  <c r="AH6" i="3"/>
  <c r="T6" i="3"/>
  <c r="AK5" i="3"/>
  <c r="AL5" i="3" s="1"/>
  <c r="AM5" i="3" s="1"/>
  <c r="AH5" i="3"/>
  <c r="T5" i="3"/>
  <c r="G5" i="3"/>
  <c r="BX4" i="3"/>
  <c r="BJ4" i="3"/>
  <c r="AV4" i="3"/>
  <c r="Z4" i="3"/>
  <c r="Y4" i="3"/>
  <c r="X4" i="3"/>
  <c r="W4" i="3"/>
  <c r="V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AK3" i="3"/>
  <c r="AL3" i="3" s="1"/>
  <c r="AM3" i="3" s="1"/>
  <c r="AN3" i="3" s="1"/>
  <c r="AO3" i="3" s="1"/>
  <c r="AP3" i="3" s="1"/>
  <c r="AB3" i="3"/>
  <c r="AA3" i="3"/>
  <c r="T3" i="3"/>
  <c r="G3" i="3"/>
  <c r="G134" i="2"/>
  <c r="L129" i="2"/>
  <c r="G129" i="2"/>
  <c r="D129" i="2"/>
  <c r="H121" i="2"/>
  <c r="F37" i="9" s="1"/>
  <c r="AA57" i="11" s="1"/>
  <c r="L118" i="2"/>
  <c r="K118" i="2"/>
  <c r="F118" i="2"/>
  <c r="C118" i="2"/>
  <c r="C49" i="10" s="1"/>
  <c r="C50" i="10" s="1"/>
  <c r="K111" i="2"/>
  <c r="F111" i="2"/>
  <c r="C111" i="2"/>
  <c r="B87" i="2"/>
  <c r="K80" i="2"/>
  <c r="M69" i="2" s="1"/>
  <c r="F80" i="2"/>
  <c r="D20" i="10" s="1"/>
  <c r="C80" i="2"/>
  <c r="C20" i="10" s="1"/>
  <c r="L78" i="2"/>
  <c r="H78" i="2"/>
  <c r="D78" i="2"/>
  <c r="L67" i="2"/>
  <c r="G67" i="2"/>
  <c r="D67" i="2"/>
  <c r="L59" i="2"/>
  <c r="AA61" i="11"/>
  <c r="H53" i="2"/>
  <c r="D9" i="10" s="1"/>
  <c r="L49" i="2"/>
  <c r="G49" i="2"/>
  <c r="D49" i="2"/>
  <c r="H34" i="2"/>
  <c r="F47" i="9" s="1"/>
  <c r="H31" i="2"/>
  <c r="F39" i="9" s="1"/>
  <c r="C29" i="2"/>
  <c r="L26" i="2"/>
  <c r="K29" i="2" s="1"/>
  <c r="G26" i="2"/>
  <c r="F29" i="2" s="1"/>
  <c r="M20" i="2"/>
  <c r="AA50" i="8" s="1"/>
  <c r="H20" i="2"/>
  <c r="F19" i="9" s="1"/>
  <c r="H17" i="2"/>
  <c r="F17" i="9" s="1"/>
  <c r="K13" i="2"/>
  <c r="F13" i="2"/>
  <c r="D13" i="2"/>
  <c r="C13" i="2"/>
  <c r="CQ10" i="12" l="1"/>
  <c r="CA10" i="12"/>
  <c r="BU10" i="12"/>
  <c r="BM10" i="12"/>
  <c r="BA10" i="12"/>
  <c r="CP10" i="12"/>
  <c r="CH10" i="12"/>
  <c r="BZ10" i="12"/>
  <c r="BS10" i="12"/>
  <c r="AY10" i="12"/>
  <c r="CN10" i="12"/>
  <c r="CF10" i="12"/>
  <c r="BX10" i="12"/>
  <c r="BR10" i="12"/>
  <c r="BJ10" i="12"/>
  <c r="BF10" i="12"/>
  <c r="AX10" i="12"/>
  <c r="CL10" i="12"/>
  <c r="BP10" i="12"/>
  <c r="CB10" i="12"/>
  <c r="AZ10" i="12"/>
  <c r="CO10" i="12"/>
  <c r="CG10" i="12"/>
  <c r="CU10" i="12"/>
  <c r="CM10" i="12"/>
  <c r="CE10" i="12"/>
  <c r="BW10" i="12"/>
  <c r="BQ10" i="12"/>
  <c r="BE10" i="12"/>
  <c r="AW10" i="12"/>
  <c r="CD10" i="12"/>
  <c r="CJ10" i="12"/>
  <c r="BN10" i="12"/>
  <c r="BB10" i="12"/>
  <c r="BT10" i="12"/>
  <c r="BH10" i="12"/>
  <c r="BY10" i="12"/>
  <c r="BG10" i="12"/>
  <c r="CT10" i="12"/>
  <c r="BD10" i="12"/>
  <c r="BL10" i="12"/>
  <c r="CS10" i="12"/>
  <c r="CK10" i="12"/>
  <c r="CC10" i="12"/>
  <c r="BO10" i="12"/>
  <c r="BC10" i="12"/>
  <c r="CR10" i="12"/>
  <c r="BK10" i="12"/>
  <c r="BE11" i="12"/>
  <c r="AW11" i="12"/>
  <c r="BB11" i="12"/>
  <c r="AZ11" i="12"/>
  <c r="AX11" i="12"/>
  <c r="BA11" i="12"/>
  <c r="BH11" i="12"/>
  <c r="BF11" i="12"/>
  <c r="BC11" i="12"/>
  <c r="BG11" i="12"/>
  <c r="AY11" i="12"/>
  <c r="BD11" i="12"/>
  <c r="AB7" i="7"/>
  <c r="CU13" i="12"/>
  <c r="CM13" i="12"/>
  <c r="CE13" i="12"/>
  <c r="BW13" i="12"/>
  <c r="BQ13" i="12"/>
  <c r="BA13" i="12"/>
  <c r="CT13" i="12"/>
  <c r="CL13" i="12"/>
  <c r="CD13" i="12"/>
  <c r="AZ13" i="12"/>
  <c r="CS13" i="12"/>
  <c r="CK13" i="12"/>
  <c r="BG13" i="12"/>
  <c r="CR13" i="12"/>
  <c r="CJ13" i="12"/>
  <c r="CB13" i="12"/>
  <c r="BN13" i="12"/>
  <c r="BF13" i="12"/>
  <c r="AX13" i="12"/>
  <c r="BT13" i="12"/>
  <c r="BD13" i="12"/>
  <c r="CN13" i="12"/>
  <c r="AY13" i="12"/>
  <c r="CQ13" i="12"/>
  <c r="CA13" i="12"/>
  <c r="BU13" i="12"/>
  <c r="BM13" i="12"/>
  <c r="BE13" i="12"/>
  <c r="AW13" i="12"/>
  <c r="CP13" i="12"/>
  <c r="BZ13" i="12"/>
  <c r="BL13" i="12"/>
  <c r="BB13" i="12"/>
  <c r="BH13" i="12"/>
  <c r="CH13" i="12"/>
  <c r="BJ13" i="12"/>
  <c r="BO13" i="12"/>
  <c r="CO13" i="12"/>
  <c r="CG13" i="12"/>
  <c r="BY13" i="12"/>
  <c r="BS13" i="12"/>
  <c r="BK13" i="12"/>
  <c r="BC13" i="12"/>
  <c r="CF13" i="12"/>
  <c r="BX13" i="12"/>
  <c r="BR13" i="12"/>
  <c r="BP13" i="12"/>
  <c r="CC13" i="12"/>
  <c r="CR8" i="12"/>
  <c r="CQ8" i="12"/>
  <c r="H4" i="8"/>
  <c r="T4" i="8" s="1"/>
  <c r="E264" i="11"/>
  <c r="AK4" i="6"/>
  <c r="AL4" i="6" s="1"/>
  <c r="AN11" i="6"/>
  <c r="CV27" i="3"/>
  <c r="CU30" i="3"/>
  <c r="CI30" i="3"/>
  <c r="CJ27" i="3"/>
  <c r="O30" i="3"/>
  <c r="O6" i="8" s="1"/>
  <c r="X30" i="3"/>
  <c r="X6" i="8" s="1"/>
  <c r="C60" i="4"/>
  <c r="AF11" i="7"/>
  <c r="BA21" i="7"/>
  <c r="M40" i="7"/>
  <c r="T5" i="8"/>
  <c r="AB10" i="8"/>
  <c r="AI10" i="8" s="1"/>
  <c r="AF60" i="4"/>
  <c r="AA40" i="7"/>
  <c r="G30" i="3"/>
  <c r="AE60" i="4"/>
  <c r="AE62" i="4" s="1"/>
  <c r="AB3" i="4"/>
  <c r="AB60" i="4" s="1"/>
  <c r="BL21" i="7"/>
  <c r="AV23" i="7"/>
  <c r="AF24" i="7"/>
  <c r="T23" i="8"/>
  <c r="G133" i="2"/>
  <c r="AE7" i="7"/>
  <c r="D47" i="13"/>
  <c r="D35" i="9"/>
  <c r="D65" i="9"/>
  <c r="E69" i="2"/>
  <c r="E78" i="2"/>
  <c r="S56" i="11"/>
  <c r="AH19" i="7"/>
  <c r="AB33" i="8"/>
  <c r="M78" i="2"/>
  <c r="P21" i="5"/>
  <c r="P7" i="8" s="1"/>
  <c r="O13" i="7"/>
  <c r="AO21" i="7"/>
  <c r="BW21" i="7"/>
  <c r="AB29" i="7"/>
  <c r="AW13" i="5"/>
  <c r="AX21" i="7"/>
  <c r="V15" i="12"/>
  <c r="D13" i="10"/>
  <c r="U19" i="12"/>
  <c r="V4" i="7"/>
  <c r="V32" i="7" s="1"/>
  <c r="AC40" i="7"/>
  <c r="F30" i="3"/>
  <c r="AL16" i="4"/>
  <c r="E24" i="5"/>
  <c r="E26" i="5"/>
  <c r="AH10" i="6"/>
  <c r="AD11" i="6"/>
  <c r="BG11" i="6"/>
  <c r="M13" i="7"/>
  <c r="T13" i="7" s="1"/>
  <c r="T14" i="7" s="1"/>
  <c r="BA18" i="7"/>
  <c r="D21" i="7"/>
  <c r="AJ21" i="7"/>
  <c r="AT21" i="7"/>
  <c r="BF21" i="7"/>
  <c r="BS21" i="7"/>
  <c r="BM30" i="7"/>
  <c r="T14" i="8"/>
  <c r="AT15" i="8"/>
  <c r="AB34" i="8"/>
  <c r="AI34" i="8" s="1"/>
  <c r="AL21" i="5"/>
  <c r="AM7" i="8" s="1"/>
  <c r="AK11" i="6"/>
  <c r="BM11" i="6"/>
  <c r="BB18" i="7"/>
  <c r="AK21" i="7"/>
  <c r="AU21" i="7"/>
  <c r="BG21" i="7"/>
  <c r="BT21" i="7"/>
  <c r="W23" i="7"/>
  <c r="AF29" i="7"/>
  <c r="BN30" i="7"/>
  <c r="AU15" i="8"/>
  <c r="C13" i="10"/>
  <c r="AA62" i="11"/>
  <c r="S110" i="11"/>
  <c r="V102" i="11"/>
  <c r="R149" i="11" s="1"/>
  <c r="AM21" i="5"/>
  <c r="AN7" i="8" s="1"/>
  <c r="BQ11" i="6"/>
  <c r="BD18" i="7"/>
  <c r="AB11" i="8"/>
  <c r="AI11" i="8" s="1"/>
  <c r="Z17" i="12"/>
  <c r="AW17" i="5"/>
  <c r="AO11" i="6"/>
  <c r="BS11" i="6"/>
  <c r="BS18" i="7"/>
  <c r="AL15" i="8"/>
  <c r="AL7" i="4"/>
  <c r="AL12" i="4"/>
  <c r="AK65" i="4"/>
  <c r="AL65" i="4" s="1"/>
  <c r="AK64" i="4"/>
  <c r="AK6" i="6"/>
  <c r="AU11" i="6"/>
  <c r="BV11" i="6"/>
  <c r="AB18" i="7"/>
  <c r="BU18" i="7"/>
  <c r="D133" i="2"/>
  <c r="I78" i="2"/>
  <c r="Z40" i="7"/>
  <c r="AK46" i="4"/>
  <c r="AW6" i="5"/>
  <c r="AF21" i="5"/>
  <c r="AG7" i="8" s="1"/>
  <c r="X11" i="6"/>
  <c r="AY11" i="6"/>
  <c r="BW11" i="6"/>
  <c r="W7" i="7"/>
  <c r="AD18" i="7"/>
  <c r="S35" i="7"/>
  <c r="S27" i="8" s="1"/>
  <c r="AP21" i="7"/>
  <c r="BB21" i="7"/>
  <c r="BO21" i="7"/>
  <c r="AF23" i="7"/>
  <c r="Q40" i="7"/>
  <c r="AB14" i="8"/>
  <c r="AP15" i="8"/>
  <c r="T33" i="8"/>
  <c r="AW11" i="5"/>
  <c r="Y11" i="6"/>
  <c r="AZ11" i="6"/>
  <c r="AJ18" i="7"/>
  <c r="AR21" i="7"/>
  <c r="BC21" i="7"/>
  <c r="BP21" i="7"/>
  <c r="AN30" i="7"/>
  <c r="T39" i="7"/>
  <c r="AQ15" i="8"/>
  <c r="J93" i="11"/>
  <c r="F140" i="11" s="1"/>
  <c r="J140" i="11" s="1"/>
  <c r="F186" i="11" s="1"/>
  <c r="J186" i="11" s="1"/>
  <c r="F234" i="11" s="1"/>
  <c r="J234" i="11" s="1"/>
  <c r="F282" i="11" s="1"/>
  <c r="J282" i="11" s="1"/>
  <c r="AB40" i="7"/>
  <c r="AW28" i="5"/>
  <c r="AB11" i="6"/>
  <c r="BF11" i="6"/>
  <c r="AG7" i="7"/>
  <c r="AU18" i="7"/>
  <c r="AS21" i="7"/>
  <c r="BD21" i="7"/>
  <c r="BR21" i="7"/>
  <c r="AP30" i="7"/>
  <c r="K40" i="7"/>
  <c r="K42" i="7" s="1"/>
  <c r="S40" i="7"/>
  <c r="AB5" i="8"/>
  <c r="AW9" i="8"/>
  <c r="E140" i="11"/>
  <c r="E186" i="11" s="1"/>
  <c r="E234" i="11" s="1"/>
  <c r="E282" i="11" s="1"/>
  <c r="S23" i="11"/>
  <c r="AW15" i="5"/>
  <c r="AG21" i="5"/>
  <c r="AH7" i="8" s="1"/>
  <c r="AW14" i="5"/>
  <c r="F4" i="6"/>
  <c r="H4" i="6" s="1"/>
  <c r="I4" i="6" s="1"/>
  <c r="H29" i="8"/>
  <c r="D40" i="9"/>
  <c r="H8" i="8"/>
  <c r="E48" i="13"/>
  <c r="E9" i="11"/>
  <c r="J9" i="11"/>
  <c r="F8" i="9" s="1"/>
  <c r="H35" i="11"/>
  <c r="AG28" i="8"/>
  <c r="AF46" i="7"/>
  <c r="AF62" i="4"/>
  <c r="AH4" i="3"/>
  <c r="AD15" i="4"/>
  <c r="AL15" i="4" s="1"/>
  <c r="C133" i="2"/>
  <c r="R28" i="8"/>
  <c r="R46" i="7"/>
  <c r="R62" i="4"/>
  <c r="Q30" i="3"/>
  <c r="Q6" i="8" s="1"/>
  <c r="AG28" i="7"/>
  <c r="AD28" i="7"/>
  <c r="AA28" i="7"/>
  <c r="X28" i="7"/>
  <c r="E60" i="13"/>
  <c r="S50" i="8"/>
  <c r="Y28" i="3"/>
  <c r="Y29" i="3" s="1"/>
  <c r="Y30" i="3" s="1"/>
  <c r="Y6" i="8" s="1"/>
  <c r="Y19" i="8" s="1"/>
  <c r="Z27" i="3"/>
  <c r="J28" i="8"/>
  <c r="J46" i="7"/>
  <c r="J62" i="4"/>
  <c r="I30" i="3"/>
  <c r="I6" i="8" s="1"/>
  <c r="I19" i="8" s="1"/>
  <c r="F133" i="2"/>
  <c r="AC3" i="3"/>
  <c r="AO41" i="3" s="1"/>
  <c r="AN5" i="3"/>
  <c r="AA25" i="3"/>
  <c r="AA23" i="8" s="1"/>
  <c r="J30" i="3"/>
  <c r="J6" i="8" s="1"/>
  <c r="R30" i="3"/>
  <c r="R6" i="8" s="1"/>
  <c r="R19" i="8" s="1"/>
  <c r="Z28" i="8"/>
  <c r="Z46" i="7"/>
  <c r="Z62" i="4"/>
  <c r="AW7" i="5"/>
  <c r="AP20" i="5"/>
  <c r="AV20" i="5" s="1"/>
  <c r="AW20" i="5" s="1"/>
  <c r="V9" i="8"/>
  <c r="AB9" i="8" s="1"/>
  <c r="AI9" i="8" s="1"/>
  <c r="AH5" i="6"/>
  <c r="T4" i="3"/>
  <c r="AB25" i="3"/>
  <c r="AC23" i="8" s="1"/>
  <c r="K30" i="3"/>
  <c r="K6" i="8" s="1"/>
  <c r="K19" i="8" s="1"/>
  <c r="S30" i="3"/>
  <c r="S6" i="8" s="1"/>
  <c r="V6" i="8"/>
  <c r="H28" i="8"/>
  <c r="H46" i="7"/>
  <c r="H62" i="4"/>
  <c r="P28" i="8"/>
  <c r="P46" i="7"/>
  <c r="P62" i="4"/>
  <c r="AC28" i="8"/>
  <c r="AB46" i="7"/>
  <c r="AB62" i="4"/>
  <c r="AF17" i="6"/>
  <c r="AF15" i="6" s="1"/>
  <c r="AG14" i="6" s="1"/>
  <c r="AQ3" i="3"/>
  <c r="F32" i="13"/>
  <c r="F40" i="9"/>
  <c r="F63" i="9" s="1"/>
  <c r="S29" i="8" s="1"/>
  <c r="V29" i="8" s="1"/>
  <c r="AB29" i="8" s="1"/>
  <c r="AI29" i="8" s="1"/>
  <c r="E24" i="13"/>
  <c r="F24" i="13"/>
  <c r="AC25" i="3"/>
  <c r="AD23" i="8" s="1"/>
  <c r="AL21" i="4"/>
  <c r="I28" i="8"/>
  <c r="I46" i="7"/>
  <c r="I62" i="4"/>
  <c r="Q28" i="8"/>
  <c r="Q46" i="7"/>
  <c r="AP19" i="5"/>
  <c r="E29" i="5"/>
  <c r="AF28" i="8"/>
  <c r="AE46" i="7"/>
  <c r="AD9" i="4"/>
  <c r="AL9" i="4" s="1"/>
  <c r="AA3" i="4"/>
  <c r="AA60" i="4" s="1"/>
  <c r="T7" i="8"/>
  <c r="I69" i="2"/>
  <c r="AL27" i="3"/>
  <c r="AH28" i="8"/>
  <c r="AG46" i="7"/>
  <c r="AG62" i="4"/>
  <c r="AD6" i="4"/>
  <c r="AC3" i="4"/>
  <c r="AC60" i="4" s="1"/>
  <c r="AD10" i="4"/>
  <c r="AL10" i="4" s="1"/>
  <c r="AD13" i="4"/>
  <c r="D68" i="4"/>
  <c r="AJ28" i="8"/>
  <c r="AK28" i="8"/>
  <c r="AJ46" i="7"/>
  <c r="AJ62" i="4"/>
  <c r="AW8" i="5"/>
  <c r="T16" i="5"/>
  <c r="BJ10" i="6"/>
  <c r="AC7" i="7"/>
  <c r="AD24" i="8"/>
  <c r="G46" i="9"/>
  <c r="F30" i="13" s="1"/>
  <c r="F3" i="4"/>
  <c r="N28" i="8"/>
  <c r="N46" i="7"/>
  <c r="N62" i="4"/>
  <c r="X28" i="8"/>
  <c r="X46" i="7"/>
  <c r="X62" i="4"/>
  <c r="AH26" i="5"/>
  <c r="AW26" i="5" s="1"/>
  <c r="V10" i="5"/>
  <c r="AL6" i="6"/>
  <c r="AM4" i="6"/>
  <c r="O27" i="8"/>
  <c r="O42" i="7"/>
  <c r="Z25" i="3"/>
  <c r="AK28" i="3"/>
  <c r="Y28" i="8"/>
  <c r="Y46" i="7"/>
  <c r="Y62" i="4"/>
  <c r="AL28" i="8"/>
  <c r="AK46" i="7"/>
  <c r="AL11" i="4"/>
  <c r="T25" i="5"/>
  <c r="AW18" i="5"/>
  <c r="T21" i="5"/>
  <c r="O28" i="8"/>
  <c r="O46" i="7"/>
  <c r="AV10" i="6"/>
  <c r="M35" i="7"/>
  <c r="M27" i="8" s="1"/>
  <c r="T32" i="7"/>
  <c r="V24" i="8"/>
  <c r="V7" i="7"/>
  <c r="W40" i="7"/>
  <c r="E27" i="5"/>
  <c r="BX10" i="6"/>
  <c r="Z11" i="6"/>
  <c r="AM11" i="6"/>
  <c r="AX11" i="6"/>
  <c r="BH11" i="6"/>
  <c r="BU11" i="6"/>
  <c r="N27" i="8"/>
  <c r="N45" i="7"/>
  <c r="P26" i="8"/>
  <c r="P45" i="7"/>
  <c r="P47" i="7" s="1"/>
  <c r="P43" i="8" s="1"/>
  <c r="J24" i="8"/>
  <c r="R24" i="8"/>
  <c r="K28" i="8"/>
  <c r="K46" i="7"/>
  <c r="S28" i="8"/>
  <c r="S46" i="7"/>
  <c r="AZ5" i="6"/>
  <c r="AE11" i="6"/>
  <c r="AP11" i="6"/>
  <c r="BB11" i="6"/>
  <c r="Z24" i="8"/>
  <c r="Z7" i="7"/>
  <c r="AH5" i="7"/>
  <c r="S24" i="8"/>
  <c r="L28" i="8"/>
  <c r="L46" i="7"/>
  <c r="V28" i="8"/>
  <c r="V46" i="7"/>
  <c r="O62" i="4"/>
  <c r="E84" i="11"/>
  <c r="H44" i="11"/>
  <c r="J44" i="11" s="1"/>
  <c r="F84" i="11" s="1"/>
  <c r="BT11" i="6"/>
  <c r="BL11" i="6"/>
  <c r="BC11" i="6"/>
  <c r="AT11" i="6"/>
  <c r="AL11" i="6"/>
  <c r="AC11" i="6"/>
  <c r="BR11" i="6"/>
  <c r="BI11" i="6"/>
  <c r="BA11" i="6"/>
  <c r="AR11" i="6"/>
  <c r="AJ11" i="6"/>
  <c r="AA11" i="6"/>
  <c r="AF11" i="6"/>
  <c r="AQ11" i="6"/>
  <c r="BD11" i="6"/>
  <c r="BO11" i="6"/>
  <c r="M28" i="8"/>
  <c r="M46" i="7"/>
  <c r="W28" i="8"/>
  <c r="W46" i="7"/>
  <c r="T5" i="6"/>
  <c r="W11" i="6"/>
  <c r="AG11" i="6"/>
  <c r="AS11" i="6"/>
  <c r="BE11" i="6"/>
  <c r="BP11" i="6"/>
  <c r="AC25" i="8"/>
  <c r="AD7" i="7"/>
  <c r="AK25" i="8"/>
  <c r="I24" i="8"/>
  <c r="AC11" i="7"/>
  <c r="AC16" i="7"/>
  <c r="Z31" i="7"/>
  <c r="AH31" i="7" s="1"/>
  <c r="AE26" i="7"/>
  <c r="W26" i="7"/>
  <c r="AB16" i="7"/>
  <c r="AC33" i="7"/>
  <c r="AD26" i="7"/>
  <c r="V26" i="7"/>
  <c r="V33" i="7"/>
  <c r="AH33" i="7" s="1"/>
  <c r="AG29" i="7"/>
  <c r="Y29" i="7"/>
  <c r="AC26" i="7"/>
  <c r="AB25" i="7"/>
  <c r="AF16" i="7"/>
  <c r="AI15" i="7"/>
  <c r="AU20" i="7" s="1"/>
  <c r="BJ19" i="7"/>
  <c r="AE20" i="7"/>
  <c r="AD20" i="7"/>
  <c r="AC20" i="7"/>
  <c r="AB20" i="7"/>
  <c r="Z27" i="7"/>
  <c r="AD29" i="7"/>
  <c r="AM30" i="7"/>
  <c r="AD25" i="8"/>
  <c r="X10" i="7"/>
  <c r="Q26" i="8"/>
  <c r="Q45" i="7"/>
  <c r="Q47" i="7" s="1"/>
  <c r="Q43" i="8" s="1"/>
  <c r="BJ23" i="7"/>
  <c r="AB24" i="7"/>
  <c r="AG24" i="7"/>
  <c r="D24" i="7"/>
  <c r="AE24" i="7"/>
  <c r="Z26" i="7"/>
  <c r="BT30" i="7"/>
  <c r="BL30" i="7"/>
  <c r="BC30" i="7"/>
  <c r="AT30" i="7"/>
  <c r="AL30" i="7"/>
  <c r="BS30" i="7"/>
  <c r="BB30" i="7"/>
  <c r="AS30" i="7"/>
  <c r="AK30" i="7"/>
  <c r="BR30" i="7"/>
  <c r="BI30" i="7"/>
  <c r="BA30" i="7"/>
  <c r="AR30" i="7"/>
  <c r="AJ30" i="7"/>
  <c r="BQ30" i="7"/>
  <c r="BH30" i="7"/>
  <c r="AZ30" i="7"/>
  <c r="AQ30" i="7"/>
  <c r="BW30" i="7"/>
  <c r="BO30" i="7"/>
  <c r="BF30" i="7"/>
  <c r="AX30" i="7"/>
  <c r="AO30" i="7"/>
  <c r="AU30" i="7"/>
  <c r="BP30" i="7"/>
  <c r="F40" i="7"/>
  <c r="F45" i="7" s="1"/>
  <c r="Q42" i="7"/>
  <c r="X24" i="8"/>
  <c r="X7" i="7"/>
  <c r="AG24" i="8"/>
  <c r="AF7" i="7"/>
  <c r="V25" i="8"/>
  <c r="S45" i="7"/>
  <c r="M24" i="8"/>
  <c r="Y10" i="7"/>
  <c r="AE16" i="7"/>
  <c r="AK18" i="7"/>
  <c r="BI18" i="7"/>
  <c r="AV19" i="7"/>
  <c r="BX19" i="7"/>
  <c r="AF20" i="7"/>
  <c r="Y25" i="7"/>
  <c r="AB26" i="7"/>
  <c r="BU30" i="7"/>
  <c r="H27" i="8"/>
  <c r="G38" i="7"/>
  <c r="T38" i="7" s="1"/>
  <c r="W25" i="8"/>
  <c r="AH6" i="7"/>
  <c r="AF25" i="8"/>
  <c r="N24" i="8"/>
  <c r="N42" i="7"/>
  <c r="Y7" i="7"/>
  <c r="M26" i="8"/>
  <c r="AG16" i="7"/>
  <c r="AM18" i="7"/>
  <c r="AG20" i="7"/>
  <c r="AA25" i="7"/>
  <c r="AG26" i="7"/>
  <c r="AG27" i="7"/>
  <c r="Y27" i="7"/>
  <c r="AF27" i="7"/>
  <c r="X27" i="7"/>
  <c r="AE27" i="7"/>
  <c r="W27" i="7"/>
  <c r="AD27" i="7"/>
  <c r="V27" i="7"/>
  <c r="AB27" i="7"/>
  <c r="V29" i="7"/>
  <c r="AD30" i="7"/>
  <c r="AY30" i="7"/>
  <c r="BV30" i="7"/>
  <c r="H45" i="7"/>
  <c r="AB11" i="7"/>
  <c r="AE10" i="7"/>
  <c r="AA11" i="7"/>
  <c r="AA13" i="7" s="1"/>
  <c r="AD10" i="7"/>
  <c r="AD13" i="7" s="1"/>
  <c r="AE26" i="8" s="1"/>
  <c r="Z11" i="7"/>
  <c r="AC10" i="7"/>
  <c r="AC13" i="7" s="1"/>
  <c r="AG11" i="7"/>
  <c r="Y11" i="7"/>
  <c r="AB10" i="7"/>
  <c r="AB13" i="7" s="1"/>
  <c r="AC26" i="8" s="1"/>
  <c r="AE11" i="7"/>
  <c r="W11" i="7"/>
  <c r="W13" i="7" s="1"/>
  <c r="W26" i="8" s="1"/>
  <c r="Z10" i="7"/>
  <c r="AI9" i="7"/>
  <c r="AF10" i="7"/>
  <c r="AF13" i="7" s="1"/>
  <c r="AG26" i="8" s="1"/>
  <c r="V11" i="7"/>
  <c r="AR18" i="7"/>
  <c r="AE21" i="7"/>
  <c r="W21" i="7"/>
  <c r="AD21" i="7"/>
  <c r="V21" i="7"/>
  <c r="AC21" i="7"/>
  <c r="AB21" i="7"/>
  <c r="Z21" i="7"/>
  <c r="AC24" i="7"/>
  <c r="AF25" i="7"/>
  <c r="X29" i="7"/>
  <c r="BD30" i="7"/>
  <c r="I40" i="7"/>
  <c r="I45" i="7" s="1"/>
  <c r="I47" i="7" s="1"/>
  <c r="I43" i="8" s="1"/>
  <c r="L45" i="7"/>
  <c r="L47" i="7" s="1"/>
  <c r="L43" i="8" s="1"/>
  <c r="P19" i="8"/>
  <c r="Y25" i="8"/>
  <c r="AH25" i="8"/>
  <c r="H24" i="8"/>
  <c r="T7" i="7"/>
  <c r="P24" i="8"/>
  <c r="P42" i="7"/>
  <c r="AA7" i="7"/>
  <c r="AG10" i="7"/>
  <c r="AG13" i="7" s="1"/>
  <c r="AH26" i="8" s="1"/>
  <c r="X11" i="7"/>
  <c r="O26" i="8"/>
  <c r="O45" i="7"/>
  <c r="BQ18" i="7"/>
  <c r="BH18" i="7"/>
  <c r="AZ18" i="7"/>
  <c r="AQ18" i="7"/>
  <c r="BP18" i="7"/>
  <c r="BG18" i="7"/>
  <c r="AY18" i="7"/>
  <c r="AP18" i="7"/>
  <c r="AG18" i="7"/>
  <c r="BW18" i="7"/>
  <c r="BO18" i="7"/>
  <c r="BF18" i="7"/>
  <c r="AX18" i="7"/>
  <c r="AO18" i="7"/>
  <c r="AF18" i="7"/>
  <c r="BV18" i="7"/>
  <c r="BN18" i="7"/>
  <c r="BE18" i="7"/>
  <c r="AN18" i="7"/>
  <c r="AE18" i="7"/>
  <c r="BT18" i="7"/>
  <c r="BL18" i="7"/>
  <c r="BC18" i="7"/>
  <c r="AT18" i="7"/>
  <c r="AL18" i="7"/>
  <c r="AC18" i="7"/>
  <c r="AS18" i="7"/>
  <c r="BR18" i="7"/>
  <c r="BX23" i="7"/>
  <c r="AD24" i="7"/>
  <c r="AG25" i="7"/>
  <c r="AF26" i="7"/>
  <c r="AC29" i="7"/>
  <c r="AG30" i="7"/>
  <c r="BE30" i="7"/>
  <c r="AA25" i="8"/>
  <c r="AQ21" i="7"/>
  <c r="AZ21" i="7"/>
  <c r="BH21" i="7"/>
  <c r="BQ21" i="7"/>
  <c r="Y23" i="7"/>
  <c r="AG23" i="7"/>
  <c r="Z25" i="7"/>
  <c r="AA26" i="7"/>
  <c r="W29" i="7"/>
  <c r="AE29" i="7"/>
  <c r="BA16" i="8"/>
  <c r="BB16" i="8" s="1"/>
  <c r="BC16" i="8" s="1"/>
  <c r="BD16" i="8" s="1"/>
  <c r="BE16" i="8" s="1"/>
  <c r="BF16" i="8" s="1"/>
  <c r="BG16" i="8" s="1"/>
  <c r="BH16" i="8" s="1"/>
  <c r="BI16" i="8" s="1"/>
  <c r="BJ16" i="8" s="1"/>
  <c r="AA23" i="7"/>
  <c r="J40" i="7"/>
  <c r="J42" i="7" s="1"/>
  <c r="R40" i="7"/>
  <c r="R42" i="7" s="1"/>
  <c r="Q19" i="8"/>
  <c r="I26" i="8"/>
  <c r="AB23" i="7"/>
  <c r="AC25" i="7"/>
  <c r="Z29" i="7"/>
  <c r="J19" i="8"/>
  <c r="J26" i="8"/>
  <c r="R26" i="8"/>
  <c r="AC23" i="7"/>
  <c r="AD25" i="7"/>
  <c r="AA29" i="7"/>
  <c r="L40" i="7"/>
  <c r="L42" i="7" s="1"/>
  <c r="L24" i="8"/>
  <c r="K45" i="7"/>
  <c r="K47" i="7" s="1"/>
  <c r="K43" i="8" s="1"/>
  <c r="K26" i="8"/>
  <c r="AN21" i="7"/>
  <c r="BE21" i="7"/>
  <c r="BN21" i="7"/>
  <c r="V23" i="7"/>
  <c r="AE25" i="7"/>
  <c r="X26" i="7"/>
  <c r="V40" i="7"/>
  <c r="AW4" i="8"/>
  <c r="L19" i="8"/>
  <c r="AI16" i="8"/>
  <c r="E10" i="10" s="1"/>
  <c r="M19" i="8"/>
  <c r="X42" i="8"/>
  <c r="AB22" i="8"/>
  <c r="AE8" i="12"/>
  <c r="N19" i="8"/>
  <c r="W19" i="8"/>
  <c r="O42" i="8"/>
  <c r="Y42" i="8"/>
  <c r="H19" i="8"/>
  <c r="O19" i="8"/>
  <c r="X19" i="8"/>
  <c r="S16" i="8"/>
  <c r="T16" i="8" s="1"/>
  <c r="H42" i="8"/>
  <c r="T22" i="8"/>
  <c r="P42" i="8"/>
  <c r="P44" i="8" s="1"/>
  <c r="Z42" i="8"/>
  <c r="T9" i="8"/>
  <c r="I42" i="8"/>
  <c r="Q42" i="8"/>
  <c r="AS15" i="8"/>
  <c r="J42" i="8"/>
  <c r="R42" i="8"/>
  <c r="K42" i="8"/>
  <c r="S42" i="8"/>
  <c r="E59" i="13"/>
  <c r="AM16" i="8"/>
  <c r="AN16" i="8" s="1"/>
  <c r="AO16" i="8" s="1"/>
  <c r="AP16" i="8" s="1"/>
  <c r="AQ16" i="8" s="1"/>
  <c r="AR16" i="8" s="1"/>
  <c r="AS16" i="8" s="1"/>
  <c r="AT16" i="8" s="1"/>
  <c r="AU16" i="8" s="1"/>
  <c r="AV16" i="8" s="1"/>
  <c r="BO16" i="8"/>
  <c r="BP16" i="8" s="1"/>
  <c r="BQ16" i="8" s="1"/>
  <c r="BR16" i="8" s="1"/>
  <c r="BS16" i="8" s="1"/>
  <c r="BT16" i="8" s="1"/>
  <c r="BU16" i="8" s="1"/>
  <c r="BV16" i="8" s="1"/>
  <c r="BW16" i="8" s="1"/>
  <c r="BX16" i="8" s="1"/>
  <c r="L42" i="8"/>
  <c r="AC42" i="8"/>
  <c r="AA42" i="8"/>
  <c r="AN15" i="8"/>
  <c r="AV15" i="8"/>
  <c r="AY15" i="8" s="1"/>
  <c r="M42" i="8"/>
  <c r="V42" i="8"/>
  <c r="AD42" i="8"/>
  <c r="AO15" i="8"/>
  <c r="N42" i="8"/>
  <c r="W42" i="8"/>
  <c r="AF37" i="8"/>
  <c r="AB37" i="8"/>
  <c r="F47" i="11"/>
  <c r="AR13" i="12"/>
  <c r="AJ13" i="12"/>
  <c r="AQ13" i="12"/>
  <c r="AI13" i="12"/>
  <c r="AO13" i="12"/>
  <c r="AL13" i="12"/>
  <c r="AK13" i="12"/>
  <c r="AT13" i="12"/>
  <c r="AS13" i="12"/>
  <c r="AM13" i="12"/>
  <c r="AP13" i="12"/>
  <c r="AN13" i="12"/>
  <c r="F25" i="13"/>
  <c r="E25" i="13"/>
  <c r="AS11" i="12"/>
  <c r="AK11" i="12"/>
  <c r="AR11" i="12"/>
  <c r="AJ11" i="12"/>
  <c r="AP11" i="12"/>
  <c r="AT11" i="12"/>
  <c r="AQ11" i="12"/>
  <c r="AO11" i="12"/>
  <c r="AN11" i="12"/>
  <c r="AM11" i="12"/>
  <c r="AL11" i="12"/>
  <c r="AI11" i="12"/>
  <c r="T45" i="8"/>
  <c r="E32" i="13"/>
  <c r="AS12" i="12"/>
  <c r="AK12" i="12"/>
  <c r="AR12" i="12"/>
  <c r="AJ12" i="12"/>
  <c r="AP12" i="12"/>
  <c r="AO12" i="12"/>
  <c r="AN12" i="12"/>
  <c r="AM12" i="12"/>
  <c r="AL12" i="12"/>
  <c r="AI12" i="12"/>
  <c r="AQ12" i="12"/>
  <c r="AT12" i="12"/>
  <c r="V17" i="12"/>
  <c r="V18" i="12" s="1"/>
  <c r="E12" i="11"/>
  <c r="J12" i="11"/>
  <c r="F9" i="9" s="1"/>
  <c r="AB45" i="8"/>
  <c r="E47" i="13"/>
  <c r="E29" i="13"/>
  <c r="D29" i="13"/>
  <c r="L19" i="13"/>
  <c r="L56" i="13"/>
  <c r="D53" i="13"/>
  <c r="D48" i="9"/>
  <c r="H168" i="11"/>
  <c r="AN10" i="12"/>
  <c r="AM10" i="12"/>
  <c r="AS10" i="12"/>
  <c r="AK10" i="12"/>
  <c r="AP10" i="12"/>
  <c r="AO10" i="12"/>
  <c r="AL10" i="12"/>
  <c r="AJ10" i="12"/>
  <c r="AI10" i="12"/>
  <c r="AQ10" i="12"/>
  <c r="D23" i="13"/>
  <c r="D20" i="9"/>
  <c r="D24" i="9" s="1"/>
  <c r="E30" i="13"/>
  <c r="AA15" i="12"/>
  <c r="AB9" i="12"/>
  <c r="AC9" i="12" s="1"/>
  <c r="AD9" i="12" s="1"/>
  <c r="AE9" i="12" s="1"/>
  <c r="AF9" i="12" s="1"/>
  <c r="AR10" i="12"/>
  <c r="E23" i="13"/>
  <c r="F23" i="13"/>
  <c r="AT10" i="12"/>
  <c r="X8" i="12"/>
  <c r="W15" i="12"/>
  <c r="E46" i="13"/>
  <c r="D44" i="10"/>
  <c r="F48" i="9"/>
  <c r="D50" i="10"/>
  <c r="D32" i="13"/>
  <c r="F20" i="9"/>
  <c r="E31" i="13"/>
  <c r="D24" i="10"/>
  <c r="E15" i="11"/>
  <c r="H75" i="11"/>
  <c r="C44" i="10"/>
  <c r="C45" i="10" s="1"/>
  <c r="C51" i="10" s="1"/>
  <c r="C55" i="10" s="1"/>
  <c r="G17" i="12"/>
  <c r="S15" i="12"/>
  <c r="F61" i="9"/>
  <c r="S8" i="8" s="1"/>
  <c r="V8" i="8" s="1"/>
  <c r="AB8" i="8" s="1"/>
  <c r="AI8" i="8" s="1"/>
  <c r="H122" i="11"/>
  <c r="L34" i="13"/>
  <c r="D31" i="13"/>
  <c r="U18" i="12"/>
  <c r="CT8" i="12" l="1"/>
  <c r="CU9" i="12"/>
  <c r="CM9" i="12"/>
  <c r="CM15" i="12" s="1"/>
  <c r="CM17" i="12" s="1"/>
  <c r="CE9" i="12"/>
  <c r="CE15" i="12" s="1"/>
  <c r="CE17" i="12" s="1"/>
  <c r="BW9" i="12"/>
  <c r="BW15" i="12" s="1"/>
  <c r="BQ9" i="12"/>
  <c r="BQ15" i="12" s="1"/>
  <c r="BQ17" i="12" s="1"/>
  <c r="BE9" i="12"/>
  <c r="BE15" i="12" s="1"/>
  <c r="AW9" i="12"/>
  <c r="CT9" i="12"/>
  <c r="CL9" i="12"/>
  <c r="CL15" i="12" s="1"/>
  <c r="CK9" i="12"/>
  <c r="CK15" i="12" s="1"/>
  <c r="CK17" i="12" s="1"/>
  <c r="CC9" i="12"/>
  <c r="CC15" i="12" s="1"/>
  <c r="CC17" i="12" s="1"/>
  <c r="CR9" i="12"/>
  <c r="CR15" i="12" s="1"/>
  <c r="CR17" i="12" s="1"/>
  <c r="CJ9" i="12"/>
  <c r="CJ15" i="12" s="1"/>
  <c r="CB9" i="12"/>
  <c r="CB15" i="12" s="1"/>
  <c r="CB17" i="12" s="1"/>
  <c r="BN9" i="12"/>
  <c r="BN15" i="12" s="1"/>
  <c r="BB9" i="12"/>
  <c r="BB15" i="12" s="1"/>
  <c r="BB17" i="12" s="1"/>
  <c r="AZ9" i="12"/>
  <c r="BR9" i="12"/>
  <c r="BR15" i="12" s="1"/>
  <c r="BR17" i="12" s="1"/>
  <c r="CD9" i="12"/>
  <c r="CD15" i="12" s="1"/>
  <c r="CD17" i="12" s="1"/>
  <c r="BP9" i="12"/>
  <c r="BP15" i="12" s="1"/>
  <c r="BP17" i="12" s="1"/>
  <c r="BC9" i="12"/>
  <c r="BC15" i="12" s="1"/>
  <c r="BC17" i="12" s="1"/>
  <c r="CQ9" i="12"/>
  <c r="CQ15" i="12" s="1"/>
  <c r="CQ17" i="12" s="1"/>
  <c r="CA9" i="12"/>
  <c r="CA15" i="12" s="1"/>
  <c r="CA17" i="12" s="1"/>
  <c r="BU9" i="12"/>
  <c r="BU15" i="12" s="1"/>
  <c r="BU17" i="12" s="1"/>
  <c r="BM9" i="12"/>
  <c r="BM15" i="12" s="1"/>
  <c r="BM17" i="12" s="1"/>
  <c r="BA9" i="12"/>
  <c r="CP9" i="12"/>
  <c r="CP15" i="12" s="1"/>
  <c r="CP17" i="12" s="1"/>
  <c r="CH9" i="12"/>
  <c r="CH15" i="12" s="1"/>
  <c r="CH17" i="12" s="1"/>
  <c r="BL9" i="12"/>
  <c r="BL15" i="12" s="1"/>
  <c r="BH9" i="12"/>
  <c r="BX9" i="12"/>
  <c r="BX15" i="12" s="1"/>
  <c r="AX9" i="12"/>
  <c r="BO9" i="12"/>
  <c r="BO15" i="12" s="1"/>
  <c r="BO17" i="12" s="1"/>
  <c r="BZ9" i="12"/>
  <c r="BZ15" i="12" s="1"/>
  <c r="BZ17" i="12" s="1"/>
  <c r="BT9" i="12"/>
  <c r="BT15" i="12" s="1"/>
  <c r="BT17" i="12" s="1"/>
  <c r="CN9" i="12"/>
  <c r="CN15" i="12" s="1"/>
  <c r="CN17" i="12" s="1"/>
  <c r="BD9" i="12"/>
  <c r="BD15" i="12" s="1"/>
  <c r="BD17" i="12" s="1"/>
  <c r="CS9" i="12"/>
  <c r="CO9" i="12"/>
  <c r="CO15" i="12" s="1"/>
  <c r="CO17" i="12" s="1"/>
  <c r="CG9" i="12"/>
  <c r="CG15" i="12" s="1"/>
  <c r="BY9" i="12"/>
  <c r="BY15" i="12" s="1"/>
  <c r="BY17" i="12" s="1"/>
  <c r="BS9" i="12"/>
  <c r="BS15" i="12" s="1"/>
  <c r="BS17" i="12" s="1"/>
  <c r="BK9" i="12"/>
  <c r="BK15" i="12" s="1"/>
  <c r="BG9" i="12"/>
  <c r="BG15" i="12" s="1"/>
  <c r="BG17" i="12" s="1"/>
  <c r="AY9" i="12"/>
  <c r="CF9" i="12"/>
  <c r="CF15" i="12" s="1"/>
  <c r="BF9" i="12"/>
  <c r="BF15" i="12" s="1"/>
  <c r="BF17" i="12" s="1"/>
  <c r="CS8" i="12"/>
  <c r="E228" i="11"/>
  <c r="H228" i="11" s="1"/>
  <c r="E276" i="11"/>
  <c r="H276" i="11" s="1"/>
  <c r="E222" i="11"/>
  <c r="H222" i="11" s="1"/>
  <c r="E270" i="11"/>
  <c r="H270" i="11" s="1"/>
  <c r="CW27" i="3"/>
  <c r="CV30" i="3"/>
  <c r="CJ30" i="3"/>
  <c r="CK27" i="3"/>
  <c r="AJ20" i="7"/>
  <c r="AM25" i="7"/>
  <c r="S47" i="7"/>
  <c r="S43" i="8" s="1"/>
  <c r="S44" i="8" s="1"/>
  <c r="AT20" i="7"/>
  <c r="AC15" i="12"/>
  <c r="AC17" i="12" s="1"/>
  <c r="M45" i="7"/>
  <c r="S42" i="7"/>
  <c r="AK66" i="4"/>
  <c r="AK67" i="4" s="1"/>
  <c r="AK68" i="4" s="1"/>
  <c r="J45" i="7"/>
  <c r="J47" i="7" s="1"/>
  <c r="J43" i="8" s="1"/>
  <c r="J44" i="8" s="1"/>
  <c r="BY16" i="8"/>
  <c r="O47" i="7"/>
  <c r="O43" i="8" s="1"/>
  <c r="O44" i="8" s="1"/>
  <c r="G50" i="11"/>
  <c r="H50" i="11" s="1"/>
  <c r="J50" i="11" s="1"/>
  <c r="F90" i="11" s="1"/>
  <c r="AH28" i="7"/>
  <c r="BX11" i="6"/>
  <c r="CK11" i="6" s="1"/>
  <c r="Z19" i="12"/>
  <c r="AA4" i="7"/>
  <c r="AA32" i="7" s="1"/>
  <c r="AG21" i="7"/>
  <c r="AF21" i="7"/>
  <c r="AA21" i="7"/>
  <c r="Y21" i="7"/>
  <c r="X21" i="7"/>
  <c r="AH29" i="7"/>
  <c r="T35" i="7"/>
  <c r="T36" i="7" s="1"/>
  <c r="Q195" i="11"/>
  <c r="AH23" i="7"/>
  <c r="AE13" i="7"/>
  <c r="AF26" i="8" s="1"/>
  <c r="AH30" i="7"/>
  <c r="AW15" i="8"/>
  <c r="AW16" i="8"/>
  <c r="AV21" i="7"/>
  <c r="BK16" i="8"/>
  <c r="I42" i="7"/>
  <c r="N47" i="7"/>
  <c r="N43" i="8" s="1"/>
  <c r="N44" i="8" s="1"/>
  <c r="AH18" i="7"/>
  <c r="AB15" i="12"/>
  <c r="AB17" i="12" s="1"/>
  <c r="AB18" i="12" s="1"/>
  <c r="Q44" i="8"/>
  <c r="R45" i="7"/>
  <c r="R47" i="7" s="1"/>
  <c r="R43" i="8" s="1"/>
  <c r="R44" i="8" s="1"/>
  <c r="BJ21" i="7"/>
  <c r="AV18" i="7"/>
  <c r="T26" i="8"/>
  <c r="AH25" i="7"/>
  <c r="E27" i="10" s="1"/>
  <c r="M42" i="7"/>
  <c r="AW28" i="8"/>
  <c r="Z18" i="12"/>
  <c r="H6" i="6"/>
  <c r="H20" i="6" s="1"/>
  <c r="E53" i="13"/>
  <c r="T53" i="11"/>
  <c r="V23" i="11"/>
  <c r="R53" i="11"/>
  <c r="D45" i="10"/>
  <c r="D46" i="10" s="1"/>
  <c r="AW25" i="5"/>
  <c r="T29" i="8"/>
  <c r="T8" i="8"/>
  <c r="F35" i="11"/>
  <c r="J35" i="11" s="1"/>
  <c r="AO42" i="3"/>
  <c r="AO43" i="3" s="1"/>
  <c r="G45" i="7"/>
  <c r="F47" i="7"/>
  <c r="G47" i="7" s="1"/>
  <c r="AG17" i="6"/>
  <c r="AH14" i="6"/>
  <c r="AA26" i="8"/>
  <c r="D12" i="13"/>
  <c r="C58" i="10"/>
  <c r="D57" i="10" s="1"/>
  <c r="T27" i="5"/>
  <c r="T30" i="5" s="1"/>
  <c r="T31" i="5" s="1"/>
  <c r="AW16" i="5"/>
  <c r="AA28" i="8"/>
  <c r="AB28" i="8" s="1"/>
  <c r="AA46" i="7"/>
  <c r="AA62" i="4"/>
  <c r="T46" i="7"/>
  <c r="AI37" i="8"/>
  <c r="AE15" i="12"/>
  <c r="AF8" i="12"/>
  <c r="BX21" i="7"/>
  <c r="S19" i="8"/>
  <c r="T19" i="8" s="1"/>
  <c r="T8" i="7"/>
  <c r="Y13" i="7"/>
  <c r="BJ30" i="7"/>
  <c r="AV30" i="7"/>
  <c r="AH10" i="7"/>
  <c r="X13" i="7"/>
  <c r="AH20" i="7"/>
  <c r="BJ11" i="6"/>
  <c r="T22" i="5"/>
  <c r="AM6" i="6"/>
  <c r="AN4" i="6"/>
  <c r="AV19" i="5"/>
  <c r="AP21" i="5"/>
  <c r="AL41" i="3"/>
  <c r="AQ41" i="3"/>
  <c r="AR3" i="3"/>
  <c r="V19" i="12"/>
  <c r="W4" i="7"/>
  <c r="W32" i="7" s="1"/>
  <c r="W35" i="7" s="1"/>
  <c r="AB42" i="8"/>
  <c r="T42" i="8"/>
  <c r="AD15" i="12"/>
  <c r="AQ25" i="7"/>
  <c r="T24" i="8"/>
  <c r="AH27" i="7"/>
  <c r="AH24" i="7"/>
  <c r="AK20" i="7"/>
  <c r="AH16" i="7"/>
  <c r="AH7" i="7"/>
  <c r="AC46" i="7"/>
  <c r="AD28" i="8"/>
  <c r="AC62" i="4"/>
  <c r="AL13" i="4"/>
  <c r="AP41" i="3"/>
  <c r="S17" i="12"/>
  <c r="H4" i="7"/>
  <c r="V35" i="7"/>
  <c r="AH11" i="7"/>
  <c r="V13" i="7"/>
  <c r="H47" i="7"/>
  <c r="AS20" i="7"/>
  <c r="AN20" i="7"/>
  <c r="AH11" i="6"/>
  <c r="AB24" i="8"/>
  <c r="AI42" i="8" s="1"/>
  <c r="Z23" i="8"/>
  <c r="AH10" i="5"/>
  <c r="V21" i="5"/>
  <c r="AG64" i="4"/>
  <c r="AD3" i="4"/>
  <c r="AD60" i="4" s="1"/>
  <c r="AL6" i="4"/>
  <c r="G38" i="11"/>
  <c r="T6" i="8"/>
  <c r="E30" i="5"/>
  <c r="AA56" i="11" s="1"/>
  <c r="AA63" i="11" s="1"/>
  <c r="T56" i="11" s="1"/>
  <c r="AU28" i="7"/>
  <c r="AO28" i="7"/>
  <c r="AL28" i="7"/>
  <c r="AR28" i="7"/>
  <c r="W17" i="12"/>
  <c r="K44" i="8"/>
  <c r="BX18" i="7"/>
  <c r="AD26" i="8"/>
  <c r="AP20" i="7"/>
  <c r="E131" i="11"/>
  <c r="H84" i="11"/>
  <c r="J84" i="11" s="1"/>
  <c r="F131" i="11" s="1"/>
  <c r="BA9" i="8"/>
  <c r="BA5" i="6"/>
  <c r="AL3" i="4"/>
  <c r="F60" i="4"/>
  <c r="AV46" i="7"/>
  <c r="AG33" i="8"/>
  <c r="AO5" i="3"/>
  <c r="Z28" i="3"/>
  <c r="Z29" i="3" s="1"/>
  <c r="Z30" i="3" s="1"/>
  <c r="Z6" i="8" s="1"/>
  <c r="Z19" i="8" s="1"/>
  <c r="AA27" i="3"/>
  <c r="H47" i="11"/>
  <c r="J47" i="11" s="1"/>
  <c r="L44" i="8"/>
  <c r="AO20" i="7"/>
  <c r="BJ18" i="7"/>
  <c r="AS11" i="7"/>
  <c r="AK11" i="7"/>
  <c r="AN10" i="7"/>
  <c r="AR11" i="7"/>
  <c r="AJ11" i="7"/>
  <c r="AU10" i="7"/>
  <c r="AM10" i="7"/>
  <c r="AQ11" i="7"/>
  <c r="AT10" i="7"/>
  <c r="AL10" i="7"/>
  <c r="AP11" i="7"/>
  <c r="AS10" i="7"/>
  <c r="AS13" i="7" s="1"/>
  <c r="AK10" i="7"/>
  <c r="AK13" i="7" s="1"/>
  <c r="AN11" i="7"/>
  <c r="AQ10" i="7"/>
  <c r="AU11" i="7"/>
  <c r="AW9" i="7"/>
  <c r="AT11" i="7"/>
  <c r="AO11" i="7"/>
  <c r="AM11" i="7"/>
  <c r="AL11" i="7"/>
  <c r="AR10" i="7"/>
  <c r="AR13" i="7" s="1"/>
  <c r="AJ10" i="7"/>
  <c r="AP10" i="7"/>
  <c r="AO10" i="7"/>
  <c r="T27" i="8"/>
  <c r="T40" i="7"/>
  <c r="G40" i="7"/>
  <c r="BX30" i="7"/>
  <c r="AS24" i="7"/>
  <c r="AK24" i="7"/>
  <c r="AR24" i="7"/>
  <c r="AJ24" i="7"/>
  <c r="AQ24" i="7"/>
  <c r="AP24" i="7"/>
  <c r="AN24" i="7"/>
  <c r="AU24" i="7"/>
  <c r="AT24" i="7"/>
  <c r="AO24" i="7"/>
  <c r="AM24" i="7"/>
  <c r="AL24" i="7"/>
  <c r="AQ20" i="7"/>
  <c r="AM20" i="7"/>
  <c r="AW27" i="5"/>
  <c r="AJ41" i="3"/>
  <c r="AD3" i="3"/>
  <c r="AM41" i="3"/>
  <c r="AN41" i="3"/>
  <c r="Y8" i="12"/>
  <c r="Y15" i="12" s="1"/>
  <c r="X15" i="12"/>
  <c r="E47" i="11"/>
  <c r="E87" i="11" s="1"/>
  <c r="E180" i="11"/>
  <c r="H180" i="11" s="1"/>
  <c r="AQ9" i="12"/>
  <c r="AI9" i="12"/>
  <c r="AP9" i="12"/>
  <c r="AN9" i="12"/>
  <c r="AK9" i="12"/>
  <c r="AJ9" i="12"/>
  <c r="AT9" i="12"/>
  <c r="AS9" i="12"/>
  <c r="AR9" i="12"/>
  <c r="AL9" i="12"/>
  <c r="AO9" i="12"/>
  <c r="AM9" i="12"/>
  <c r="F41" i="11"/>
  <c r="E41" i="11"/>
  <c r="BF15" i="8"/>
  <c r="BE15" i="8"/>
  <c r="BD15" i="8"/>
  <c r="BC15" i="8"/>
  <c r="BJ15" i="8"/>
  <c r="BM15" i="8" s="1"/>
  <c r="BB15" i="8"/>
  <c r="BH15" i="8"/>
  <c r="BG15" i="8"/>
  <c r="BA15" i="8"/>
  <c r="AZ15" i="8"/>
  <c r="BI15" i="8"/>
  <c r="AN25" i="7"/>
  <c r="AT25" i="7"/>
  <c r="Z13" i="7"/>
  <c r="AB25" i="8"/>
  <c r="AI25" i="8" s="1"/>
  <c r="AL60" i="4"/>
  <c r="AK41" i="3"/>
  <c r="T50" i="8"/>
  <c r="E174" i="11"/>
  <c r="H174" i="11" s="1"/>
  <c r="E23" i="11"/>
  <c r="AJ33" i="7"/>
  <c r="AV33" i="7" s="1"/>
  <c r="AS29" i="7"/>
  <c r="AK29" i="7"/>
  <c r="AP27" i="7"/>
  <c r="AO26" i="7"/>
  <c r="AT16" i="7"/>
  <c r="AL16" i="7"/>
  <c r="AR29" i="7"/>
  <c r="AJ29" i="7"/>
  <c r="AO27" i="7"/>
  <c r="AN26" i="7"/>
  <c r="AS16" i="7"/>
  <c r="AK16" i="7"/>
  <c r="AQ29" i="7"/>
  <c r="AN27" i="7"/>
  <c r="AU26" i="7"/>
  <c r="AM26" i="7"/>
  <c r="AR16" i="7"/>
  <c r="AJ16" i="7"/>
  <c r="AP29" i="7"/>
  <c r="AU27" i="7"/>
  <c r="AM27" i="7"/>
  <c r="AT26" i="7"/>
  <c r="AL26" i="7"/>
  <c r="AS25" i="7"/>
  <c r="AK25" i="7"/>
  <c r="AQ16" i="7"/>
  <c r="AN29" i="7"/>
  <c r="AS27" i="7"/>
  <c r="AK27" i="7"/>
  <c r="AR26" i="7"/>
  <c r="AJ26" i="7"/>
  <c r="AO16" i="7"/>
  <c r="AR27" i="7"/>
  <c r="AK26" i="7"/>
  <c r="AN16" i="7"/>
  <c r="AU29" i="7"/>
  <c r="AQ27" i="7"/>
  <c r="AM16" i="7"/>
  <c r="AT29" i="7"/>
  <c r="AL27" i="7"/>
  <c r="AO29" i="7"/>
  <c r="AJ27" i="7"/>
  <c r="AM29" i="7"/>
  <c r="AR25" i="7"/>
  <c r="AT27" i="7"/>
  <c r="AP26" i="7"/>
  <c r="AJ25" i="7"/>
  <c r="AP16" i="7"/>
  <c r="AS26" i="7"/>
  <c r="AP25" i="7"/>
  <c r="AU16" i="7"/>
  <c r="AQ26" i="7"/>
  <c r="AO25" i="7"/>
  <c r="AL29" i="7"/>
  <c r="AW15" i="7"/>
  <c r="BB24" i="7" s="1"/>
  <c r="AR20" i="7"/>
  <c r="AN31" i="7"/>
  <c r="AV31" i="7" s="1"/>
  <c r="F11" i="9"/>
  <c r="AA17" i="12"/>
  <c r="AA18" i="12" s="1"/>
  <c r="I44" i="8"/>
  <c r="P46" i="8"/>
  <c r="R35" i="8" s="1"/>
  <c r="P30" i="8"/>
  <c r="AU25" i="7"/>
  <c r="AL25" i="7"/>
  <c r="AL20" i="7"/>
  <c r="AH26" i="7"/>
  <c r="AV11" i="6"/>
  <c r="AM27" i="3"/>
  <c r="AL30" i="3"/>
  <c r="I6" i="6"/>
  <c r="I20" i="6" s="1"/>
  <c r="I31" i="8" s="1"/>
  <c r="J4" i="6"/>
  <c r="S68" i="4"/>
  <c r="T30" i="3"/>
  <c r="T31" i="3" s="1"/>
  <c r="F59" i="13"/>
  <c r="E62" i="13"/>
  <c r="AL28" i="3"/>
  <c r="AO44" i="3" l="1"/>
  <c r="BB18" i="12"/>
  <c r="BC4" i="7"/>
  <c r="CQ18" i="12"/>
  <c r="CU4" i="7"/>
  <c r="CB18" i="12"/>
  <c r="CE4" i="7"/>
  <c r="BD18" i="12"/>
  <c r="BE4" i="7"/>
  <c r="BC18" i="12"/>
  <c r="BD4" i="7"/>
  <c r="BQ18" i="12"/>
  <c r="BS4" i="7"/>
  <c r="CO18" i="12"/>
  <c r="CS4" i="7"/>
  <c r="CH18" i="12"/>
  <c r="CK4" i="7"/>
  <c r="BP18" i="12"/>
  <c r="BR4" i="7"/>
  <c r="CR18" i="12"/>
  <c r="CV4" i="7"/>
  <c r="BT18" i="12"/>
  <c r="BV4" i="7"/>
  <c r="CP18" i="12"/>
  <c r="CT4" i="7"/>
  <c r="CD18" i="12"/>
  <c r="CG4" i="7"/>
  <c r="CC18" i="12"/>
  <c r="CF4" i="7"/>
  <c r="CE18" i="12"/>
  <c r="CH4" i="7"/>
  <c r="CA18" i="12"/>
  <c r="CD4" i="7"/>
  <c r="CN18" i="12"/>
  <c r="CR4" i="7"/>
  <c r="BS18" i="12"/>
  <c r="BU4" i="7"/>
  <c r="BZ18" i="12"/>
  <c r="CC4" i="7"/>
  <c r="BR18" i="12"/>
  <c r="BT4" i="7"/>
  <c r="CK18" i="12"/>
  <c r="CO4" i="7"/>
  <c r="CM18" i="12"/>
  <c r="CQ4" i="7"/>
  <c r="BG18" i="12"/>
  <c r="BH4" i="7"/>
  <c r="BY18" i="12"/>
  <c r="CB4" i="7"/>
  <c r="BO18" i="12"/>
  <c r="BQ4" i="7"/>
  <c r="BM18" i="12"/>
  <c r="BO4" i="7"/>
  <c r="BF18" i="12"/>
  <c r="BG4" i="7"/>
  <c r="BU18" i="12"/>
  <c r="BW4" i="7"/>
  <c r="T45" i="7"/>
  <c r="M47" i="7"/>
  <c r="M43" i="8" s="1"/>
  <c r="M44" i="8" s="1"/>
  <c r="M46" i="8" s="1"/>
  <c r="O35" i="8" s="1"/>
  <c r="BK17" i="12"/>
  <c r="CF17" i="12"/>
  <c r="BH15" i="12"/>
  <c r="BH17" i="12" s="1"/>
  <c r="BJ9" i="12"/>
  <c r="BJ15" i="12" s="1"/>
  <c r="BE17" i="12"/>
  <c r="T42" i="7"/>
  <c r="BL17" i="12"/>
  <c r="CJ17" i="12"/>
  <c r="BW17" i="12"/>
  <c r="CL17" i="12"/>
  <c r="CU8" i="12"/>
  <c r="CU15" i="12" s="1"/>
  <c r="CU17" i="12" s="1"/>
  <c r="CS15" i="12"/>
  <c r="CS17" i="12" s="1"/>
  <c r="CG17" i="12"/>
  <c r="CT15" i="12"/>
  <c r="CT17" i="12" s="1"/>
  <c r="BA8" i="12"/>
  <c r="BA15" i="12" s="1"/>
  <c r="BA17" i="12" s="1"/>
  <c r="AX8" i="12"/>
  <c r="AX15" i="12" s="1"/>
  <c r="AW8" i="12"/>
  <c r="AW15" i="12" s="1"/>
  <c r="AY8" i="12"/>
  <c r="AY15" i="12" s="1"/>
  <c r="AY17" i="12" s="1"/>
  <c r="AZ8" i="12"/>
  <c r="AZ15" i="12" s="1"/>
  <c r="AZ17" i="12" s="1"/>
  <c r="BX17" i="12"/>
  <c r="BN17" i="12"/>
  <c r="T195" i="11"/>
  <c r="Q243" i="11"/>
  <c r="E90" i="11"/>
  <c r="H90" i="11" s="1"/>
  <c r="J90" i="11" s="1"/>
  <c r="F137" i="11" s="1"/>
  <c r="T63" i="11"/>
  <c r="E11" i="10" s="1"/>
  <c r="V149" i="11"/>
  <c r="R195" i="11" s="1"/>
  <c r="D51" i="10"/>
  <c r="D55" i="10" s="1"/>
  <c r="D64" i="10" s="1"/>
  <c r="D47" i="10"/>
  <c r="CX27" i="3"/>
  <c r="CW30" i="3"/>
  <c r="CL27" i="3"/>
  <c r="CK30" i="3"/>
  <c r="CL30" i="3" s="1"/>
  <c r="O46" i="8"/>
  <c r="Q35" i="8" s="1"/>
  <c r="O30" i="8"/>
  <c r="S30" i="8"/>
  <c r="S46" i="8"/>
  <c r="W35" i="8" s="1"/>
  <c r="AH21" i="7"/>
  <c r="BK15" i="8"/>
  <c r="G10" i="10" s="1"/>
  <c r="AA35" i="7"/>
  <c r="AA45" i="7" s="1"/>
  <c r="AA47" i="7" s="1"/>
  <c r="AA43" i="8" s="1"/>
  <c r="AA44" i="8" s="1"/>
  <c r="T20" i="8"/>
  <c r="AV28" i="7"/>
  <c r="R63" i="11"/>
  <c r="V53" i="11"/>
  <c r="R96" i="11" s="1"/>
  <c r="N30" i="8"/>
  <c r="N46" i="8"/>
  <c r="P35" i="8" s="1"/>
  <c r="AV25" i="7"/>
  <c r="F27" i="10" s="1"/>
  <c r="AU13" i="7"/>
  <c r="AV26" i="8" s="1"/>
  <c r="AV11" i="7"/>
  <c r="F87" i="11"/>
  <c r="L50" i="11"/>
  <c r="G10" i="9" s="1"/>
  <c r="AV20" i="7"/>
  <c r="Q30" i="8"/>
  <c r="Q46" i="8"/>
  <c r="S35" i="8" s="1"/>
  <c r="T55" i="8"/>
  <c r="F10" i="10"/>
  <c r="AV26" i="7"/>
  <c r="Q63" i="11"/>
  <c r="Q96" i="11"/>
  <c r="Q99" i="11"/>
  <c r="S63" i="11"/>
  <c r="J23" i="11"/>
  <c r="G23" i="11"/>
  <c r="E38" i="13" s="1"/>
  <c r="E40" i="13" s="1"/>
  <c r="AB27" i="3"/>
  <c r="AA28" i="3"/>
  <c r="AA29" i="3" s="1"/>
  <c r="AA30" i="3" s="1"/>
  <c r="AA6" i="8" s="1"/>
  <c r="AA19" i="8" s="1"/>
  <c r="AA19" i="12"/>
  <c r="AB4" i="7"/>
  <c r="AB32" i="7" s="1"/>
  <c r="AB35" i="7" s="1"/>
  <c r="AV29" i="7"/>
  <c r="R30" i="8"/>
  <c r="R46" i="8"/>
  <c r="V35" i="8" s="1"/>
  <c r="AM42" i="3"/>
  <c r="AM43" i="3" s="1"/>
  <c r="AX24" i="7"/>
  <c r="AZ24" i="7"/>
  <c r="AS26" i="8"/>
  <c r="E78" i="11"/>
  <c r="E171" i="11"/>
  <c r="E219" i="11" s="1"/>
  <c r="H38" i="11"/>
  <c r="E125" i="11"/>
  <c r="H43" i="8"/>
  <c r="AP42" i="3"/>
  <c r="AP43" i="3" s="1"/>
  <c r="AQ42" i="3"/>
  <c r="AQ43" i="3" s="1"/>
  <c r="Y26" i="8"/>
  <c r="AE17" i="12"/>
  <c r="AE18" i="12" s="1"/>
  <c r="AL26" i="8"/>
  <c r="W19" i="12"/>
  <c r="X4" i="7"/>
  <c r="X32" i="7" s="1"/>
  <c r="X35" i="7" s="1"/>
  <c r="X27" i="8" s="1"/>
  <c r="V26" i="8"/>
  <c r="V45" i="7"/>
  <c r="AE3" i="3"/>
  <c r="AD41" i="3"/>
  <c r="AV24" i="7"/>
  <c r="AT26" i="8"/>
  <c r="L30" i="8"/>
  <c r="L46" i="8"/>
  <c r="N35" i="8" s="1"/>
  <c r="W18" i="12"/>
  <c r="AE28" i="8"/>
  <c r="AD46" i="7"/>
  <c r="AH46" i="7" s="1"/>
  <c r="AD62" i="4"/>
  <c r="AQ7" i="8"/>
  <c r="AW7" i="8" s="1"/>
  <c r="AV21" i="5"/>
  <c r="BI28" i="7"/>
  <c r="BA28" i="7"/>
  <c r="BG27" i="7"/>
  <c r="AY27" i="7"/>
  <c r="BF26" i="7"/>
  <c r="AX26" i="7"/>
  <c r="BC16" i="7"/>
  <c r="BH28" i="7"/>
  <c r="AZ28" i="7"/>
  <c r="BF27" i="7"/>
  <c r="AX27" i="7"/>
  <c r="BE26" i="7"/>
  <c r="BB16" i="7"/>
  <c r="BG28" i="7"/>
  <c r="BE27" i="7"/>
  <c r="BD26" i="7"/>
  <c r="BI16" i="7"/>
  <c r="BA16" i="7"/>
  <c r="BF28" i="7"/>
  <c r="BD27" i="7"/>
  <c r="BC26" i="7"/>
  <c r="BB25" i="7"/>
  <c r="BH16" i="7"/>
  <c r="AZ16" i="7"/>
  <c r="BK15" i="7"/>
  <c r="BE33" i="7"/>
  <c r="BB31" i="7"/>
  <c r="BJ31" i="7" s="1"/>
  <c r="BD28" i="7"/>
  <c r="BB27" i="7"/>
  <c r="BI26" i="7"/>
  <c r="BA26" i="7"/>
  <c r="BF16" i="7"/>
  <c r="AX16" i="7"/>
  <c r="AX33" i="7"/>
  <c r="BJ33" i="7" s="1"/>
  <c r="BH26" i="7"/>
  <c r="BF25" i="7"/>
  <c r="BG26" i="7"/>
  <c r="BA25" i="7"/>
  <c r="BG16" i="7"/>
  <c r="BI27" i="7"/>
  <c r="BB26" i="7"/>
  <c r="AY25" i="7"/>
  <c r="BE16" i="7"/>
  <c r="BH27" i="7"/>
  <c r="AZ26" i="7"/>
  <c r="AX25" i="7"/>
  <c r="BD16" i="7"/>
  <c r="BE28" i="7"/>
  <c r="BC27" i="7"/>
  <c r="AY26" i="7"/>
  <c r="AY20" i="7"/>
  <c r="AY16" i="7"/>
  <c r="BG25" i="7"/>
  <c r="BA27" i="7"/>
  <c r="BI25" i="7"/>
  <c r="BC28" i="7"/>
  <c r="AZ27" i="7"/>
  <c r="BB28" i="7"/>
  <c r="AX20" i="7"/>
  <c r="BD20" i="7"/>
  <c r="BH20" i="7"/>
  <c r="BG20" i="7"/>
  <c r="AZ20" i="7"/>
  <c r="BD25" i="7"/>
  <c r="BF20" i="7"/>
  <c r="BC25" i="7"/>
  <c r="BE25" i="7"/>
  <c r="BE20" i="7"/>
  <c r="BB20" i="7"/>
  <c r="BI20" i="7"/>
  <c r="BA20" i="7"/>
  <c r="BH25" i="7"/>
  <c r="BC20" i="7"/>
  <c r="AZ25" i="7"/>
  <c r="H31" i="8"/>
  <c r="Z26" i="8"/>
  <c r="AJ42" i="3"/>
  <c r="AJ43" i="3" s="1"/>
  <c r="BF24" i="7"/>
  <c r="BE24" i="7"/>
  <c r="AN13" i="7"/>
  <c r="AC19" i="12"/>
  <c r="AD4" i="7"/>
  <c r="AD32" i="7" s="1"/>
  <c r="AD35" i="7" s="1"/>
  <c r="BI29" i="7"/>
  <c r="BF29" i="7"/>
  <c r="BC29" i="7"/>
  <c r="AZ29" i="7"/>
  <c r="AL64" i="4"/>
  <c r="AG66" i="4"/>
  <c r="AG67" i="4" s="1"/>
  <c r="AG68" i="4" s="1"/>
  <c r="AD17" i="12"/>
  <c r="AV29" i="5"/>
  <c r="AW19" i="5"/>
  <c r="X26" i="8"/>
  <c r="AG15" i="6"/>
  <c r="AH17" i="6"/>
  <c r="H87" i="11"/>
  <c r="E134" i="11"/>
  <c r="H134" i="11" s="1"/>
  <c r="BD24" i="7"/>
  <c r="BA24" i="7"/>
  <c r="AL13" i="7"/>
  <c r="AP5" i="3"/>
  <c r="BB9" i="8"/>
  <c r="BB5" i="6"/>
  <c r="AC18" i="12"/>
  <c r="V7" i="8"/>
  <c r="AH21" i="5"/>
  <c r="V27" i="8"/>
  <c r="AN6" i="6"/>
  <c r="AO4" i="6"/>
  <c r="AH13" i="7"/>
  <c r="C65" i="10"/>
  <c r="C70" i="10" s="1"/>
  <c r="D70" i="10" s="1"/>
  <c r="E70" i="10" s="1"/>
  <c r="F70" i="10" s="1"/>
  <c r="G70" i="10" s="1"/>
  <c r="H70" i="10" s="1"/>
  <c r="C64" i="10"/>
  <c r="C69" i="10" s="1"/>
  <c r="BC24" i="7"/>
  <c r="E81" i="11"/>
  <c r="X17" i="12"/>
  <c r="X18" i="12" s="1"/>
  <c r="AY24" i="7"/>
  <c r="BI24" i="7"/>
  <c r="AO13" i="7"/>
  <c r="BB11" i="7"/>
  <c r="BE10" i="7"/>
  <c r="BI11" i="7"/>
  <c r="BA11" i="7"/>
  <c r="BD10" i="7"/>
  <c r="BH11" i="7"/>
  <c r="AZ11" i="7"/>
  <c r="BC10" i="7"/>
  <c r="BC13" i="7" s="1"/>
  <c r="BG11" i="7"/>
  <c r="AY11" i="7"/>
  <c r="BB10" i="7"/>
  <c r="BK9" i="7"/>
  <c r="BE11" i="7"/>
  <c r="BH10" i="7"/>
  <c r="BH13" i="7" s="1"/>
  <c r="AZ10" i="7"/>
  <c r="BF10" i="7"/>
  <c r="BA10" i="7"/>
  <c r="AY10" i="7"/>
  <c r="AY13" i="7" s="1"/>
  <c r="AX10" i="7"/>
  <c r="BF11" i="7"/>
  <c r="AX11" i="7"/>
  <c r="BG10" i="7"/>
  <c r="BG13" i="7" s="1"/>
  <c r="BI10" i="7"/>
  <c r="BI13" i="7" s="1"/>
  <c r="BD11" i="7"/>
  <c r="BC11" i="7"/>
  <c r="AT13" i="7"/>
  <c r="AW10" i="5"/>
  <c r="AH24" i="5"/>
  <c r="D19" i="13"/>
  <c r="D34" i="13" s="1"/>
  <c r="BH24" i="7"/>
  <c r="J6" i="6"/>
  <c r="J20" i="6" s="1"/>
  <c r="J31" i="8" s="1"/>
  <c r="K4" i="6"/>
  <c r="F24" i="9"/>
  <c r="AM6" i="8"/>
  <c r="AM29" i="3"/>
  <c r="AN27" i="3"/>
  <c r="AM30" i="3"/>
  <c r="AN6" i="8" s="1"/>
  <c r="AM28" i="3"/>
  <c r="AB19" i="12"/>
  <c r="AC4" i="7"/>
  <c r="AC32" i="7" s="1"/>
  <c r="AC35" i="7" s="1"/>
  <c r="AV27" i="7"/>
  <c r="AV16" i="7"/>
  <c r="I46" i="9"/>
  <c r="H30" i="13" s="1"/>
  <c r="H41" i="11"/>
  <c r="Y17" i="12"/>
  <c r="Y18" i="12" s="1"/>
  <c r="BG24" i="7"/>
  <c r="AP13" i="7"/>
  <c r="W27" i="8"/>
  <c r="W42" i="7"/>
  <c r="W45" i="7"/>
  <c r="W47" i="7" s="1"/>
  <c r="W43" i="8" s="1"/>
  <c r="W44" i="8" s="1"/>
  <c r="E20" i="10"/>
  <c r="AH8" i="7"/>
  <c r="AR41" i="3"/>
  <c r="AS3" i="3"/>
  <c r="D52" i="9"/>
  <c r="AL42" i="3"/>
  <c r="AL43" i="3" s="1"/>
  <c r="J30" i="8"/>
  <c r="J46" i="8"/>
  <c r="L35" i="8" s="1"/>
  <c r="I30" i="8"/>
  <c r="I38" i="8" s="1"/>
  <c r="I48" i="8" s="1"/>
  <c r="I46" i="8"/>
  <c r="K35" i="8" s="1"/>
  <c r="AK42" i="3"/>
  <c r="AK43" i="3" s="1"/>
  <c r="G30" i="13"/>
  <c r="BW15" i="8"/>
  <c r="BO15" i="8"/>
  <c r="BV15" i="8"/>
  <c r="BN15" i="8"/>
  <c r="BU15" i="8"/>
  <c r="BT15" i="8"/>
  <c r="BS15" i="8"/>
  <c r="BX15" i="8"/>
  <c r="BR15" i="8"/>
  <c r="BQ15" i="8"/>
  <c r="BP15" i="8"/>
  <c r="AN42" i="3"/>
  <c r="AN43" i="3" s="1"/>
  <c r="AV10" i="7"/>
  <c r="AJ13" i="7"/>
  <c r="AQ13" i="7"/>
  <c r="AM13" i="7"/>
  <c r="F75" i="11"/>
  <c r="E177" i="11"/>
  <c r="H131" i="11"/>
  <c r="J131" i="11" s="1"/>
  <c r="F177" i="11" s="1"/>
  <c r="K46" i="8"/>
  <c r="M35" i="8" s="1"/>
  <c r="K30" i="8"/>
  <c r="AB23" i="8"/>
  <c r="V42" i="7"/>
  <c r="AT8" i="12"/>
  <c r="AT15" i="12" s="1"/>
  <c r="AL8" i="12"/>
  <c r="AL15" i="12" s="1"/>
  <c r="AS8" i="12"/>
  <c r="AS15" i="12" s="1"/>
  <c r="AK8" i="12"/>
  <c r="AK15" i="12" s="1"/>
  <c r="AQ8" i="12"/>
  <c r="AQ15" i="12" s="1"/>
  <c r="AI8" i="12"/>
  <c r="AI15" i="12" s="1"/>
  <c r="AP8" i="12"/>
  <c r="AP15" i="12" s="1"/>
  <c r="AO8" i="12"/>
  <c r="AO15" i="12" s="1"/>
  <c r="AN8" i="12"/>
  <c r="AN15" i="12" s="1"/>
  <c r="AM8" i="12"/>
  <c r="AM15" i="12" s="1"/>
  <c r="AJ8" i="12"/>
  <c r="AJ15" i="12" s="1"/>
  <c r="AR8" i="12"/>
  <c r="AR15" i="12" s="1"/>
  <c r="AF15" i="12"/>
  <c r="AO45" i="3"/>
  <c r="AO7" i="3" s="1"/>
  <c r="AZ18" i="12" l="1"/>
  <c r="BA4" i="7"/>
  <c r="AY18" i="12"/>
  <c r="AZ4" i="7"/>
  <c r="BA18" i="12"/>
  <c r="BB4" i="7"/>
  <c r="BL18" i="12"/>
  <c r="BN4" i="7"/>
  <c r="CG18" i="12"/>
  <c r="CJ4" i="7"/>
  <c r="BN18" i="12"/>
  <c r="BP4" i="7"/>
  <c r="BX18" i="12"/>
  <c r="CA4" i="7"/>
  <c r="CJ18" i="12"/>
  <c r="CN4" i="7"/>
  <c r="CS18" i="12"/>
  <c r="CW4" i="7"/>
  <c r="CU18" i="12"/>
  <c r="CY4" i="7"/>
  <c r="BH18" i="12"/>
  <c r="BI4" i="7"/>
  <c r="CL18" i="12"/>
  <c r="CP4" i="7"/>
  <c r="CF18" i="12"/>
  <c r="CI4" i="7"/>
  <c r="CT18" i="12"/>
  <c r="CX4" i="7"/>
  <c r="BE18" i="12"/>
  <c r="BF4" i="7"/>
  <c r="BW18" i="12"/>
  <c r="BW21" i="12"/>
  <c r="BZ4" i="7"/>
  <c r="BK18" i="12"/>
  <c r="BM4" i="7"/>
  <c r="M30" i="8"/>
  <c r="T47" i="7"/>
  <c r="AA27" i="8"/>
  <c r="BJ17" i="12"/>
  <c r="AW17" i="12"/>
  <c r="AX17" i="12"/>
  <c r="AY4" i="7" s="1"/>
  <c r="AQ44" i="3"/>
  <c r="AQ45" i="3" s="1"/>
  <c r="E137" i="11"/>
  <c r="T243" i="11"/>
  <c r="Q291" i="11"/>
  <c r="V195" i="11"/>
  <c r="R243" i="11" s="1"/>
  <c r="V243" i="11" s="1"/>
  <c r="D58" i="10"/>
  <c r="F34" i="9" s="1"/>
  <c r="J87" i="11"/>
  <c r="F134" i="11" s="1"/>
  <c r="J134" i="11" s="1"/>
  <c r="F180" i="11" s="1"/>
  <c r="E12" i="13"/>
  <c r="E19" i="13" s="1"/>
  <c r="E34" i="13" s="1"/>
  <c r="E56" i="13" s="1"/>
  <c r="E65" i="13" s="1"/>
  <c r="H177" i="11"/>
  <c r="J177" i="11" s="1"/>
  <c r="F225" i="11" s="1"/>
  <c r="E225" i="11"/>
  <c r="E267" i="11"/>
  <c r="H219" i="11"/>
  <c r="CY27" i="3"/>
  <c r="CX30" i="3"/>
  <c r="AA30" i="8"/>
  <c r="AA46" i="8"/>
  <c r="AF35" i="8" s="1"/>
  <c r="AB6" i="8"/>
  <c r="AZ13" i="7"/>
  <c r="AP44" i="3"/>
  <c r="AP45" i="3" s="1"/>
  <c r="AP7" i="3" s="1"/>
  <c r="AA42" i="7"/>
  <c r="J41" i="11"/>
  <c r="G9" i="9" s="1"/>
  <c r="BF13" i="7"/>
  <c r="BG26" i="8" s="1"/>
  <c r="F30" i="5"/>
  <c r="BD13" i="7"/>
  <c r="AM44" i="3"/>
  <c r="AM45" i="3" s="1"/>
  <c r="AM7" i="3" s="1"/>
  <c r="X42" i="7"/>
  <c r="BJ11" i="7"/>
  <c r="AK44" i="3"/>
  <c r="AK45" i="3" s="1"/>
  <c r="AK7" i="3" s="1"/>
  <c r="X45" i="7"/>
  <c r="X47" i="7" s="1"/>
  <c r="X43" i="8" s="1"/>
  <c r="X44" i="8" s="1"/>
  <c r="X46" i="8" s="1"/>
  <c r="AC35" i="8" s="1"/>
  <c r="AV13" i="7"/>
  <c r="BY15" i="8"/>
  <c r="H10" i="10" s="1"/>
  <c r="BA13" i="7"/>
  <c r="BJ20" i="7"/>
  <c r="BJ27" i="7"/>
  <c r="Q143" i="11"/>
  <c r="T96" i="11"/>
  <c r="V96" i="11" s="1"/>
  <c r="R143" i="11" s="1"/>
  <c r="Q146" i="11"/>
  <c r="T99" i="11"/>
  <c r="Q110" i="11"/>
  <c r="V56" i="11"/>
  <c r="F63" i="11"/>
  <c r="E63" i="11"/>
  <c r="D56" i="13"/>
  <c r="D65" i="13" s="1"/>
  <c r="AO10" i="3"/>
  <c r="AO8" i="3"/>
  <c r="AO11" i="3" s="1"/>
  <c r="E57" i="10"/>
  <c r="AI17" i="12"/>
  <c r="AI18" i="12" s="1"/>
  <c r="BB26" i="8"/>
  <c r="AQ5" i="3"/>
  <c r="BT29" i="7"/>
  <c r="BN29" i="7"/>
  <c r="BW29" i="7"/>
  <c r="BQ29" i="7"/>
  <c r="AN44" i="3"/>
  <c r="AN45" i="3" s="1"/>
  <c r="AN7" i="3" s="1"/>
  <c r="BD26" i="8"/>
  <c r="AP26" i="8"/>
  <c r="AD19" i="12"/>
  <c r="AE4" i="7"/>
  <c r="AE32" i="7" s="1"/>
  <c r="AE35" i="7" s="1"/>
  <c r="AE27" i="8"/>
  <c r="BJ25" i="7"/>
  <c r="G27" i="10" s="1"/>
  <c r="BJ26" i="7"/>
  <c r="AE19" i="12"/>
  <c r="AF4" i="7"/>
  <c r="AF32" i="7" s="1"/>
  <c r="AF35" i="7" s="1"/>
  <c r="T43" i="8"/>
  <c r="H44" i="8"/>
  <c r="H137" i="11"/>
  <c r="J137" i="11" s="1"/>
  <c r="F183" i="11" s="1"/>
  <c r="E183" i="11"/>
  <c r="W30" i="8"/>
  <c r="W46" i="8"/>
  <c r="Y35" i="8" s="1"/>
  <c r="AF17" i="12"/>
  <c r="AF18" i="12" s="1"/>
  <c r="AQ17" i="12"/>
  <c r="AQ18" i="12" s="1"/>
  <c r="AN30" i="3"/>
  <c r="AO27" i="3"/>
  <c r="AN28" i="3"/>
  <c r="AR17" i="12"/>
  <c r="AR18" i="12" s="1"/>
  <c r="AK17" i="12"/>
  <c r="AK18" i="12" s="1"/>
  <c r="J75" i="11"/>
  <c r="T35" i="8"/>
  <c r="BJ26" i="8"/>
  <c r="BA26" i="8"/>
  <c r="AH22" i="5"/>
  <c r="AM26" i="8"/>
  <c r="AD18" i="12"/>
  <c r="V47" i="7"/>
  <c r="AC27" i="3"/>
  <c r="AB28" i="3"/>
  <c r="AB29" i="3" s="1"/>
  <c r="AB30" i="3" s="1"/>
  <c r="BH26" i="8"/>
  <c r="BI26" i="8"/>
  <c r="AB7" i="8"/>
  <c r="AI7" i="8" s="1"/>
  <c r="V19" i="8"/>
  <c r="AH33" i="8"/>
  <c r="AI33" i="8" s="1"/>
  <c r="AH15" i="6"/>
  <c r="AJ14" i="6"/>
  <c r="AD42" i="3"/>
  <c r="AD43" i="3" s="1"/>
  <c r="AB26" i="8"/>
  <c r="H125" i="11"/>
  <c r="AL17" i="12"/>
  <c r="AL18" i="12" s="1"/>
  <c r="AN26" i="8"/>
  <c r="AS41" i="3"/>
  <c r="AT3" i="3"/>
  <c r="AO26" i="8"/>
  <c r="AJ17" i="12"/>
  <c r="AJ18" i="12" s="1"/>
  <c r="AN17" i="12"/>
  <c r="AN18" i="12" s="1"/>
  <c r="AD27" i="8"/>
  <c r="AC42" i="7"/>
  <c r="AC45" i="7"/>
  <c r="AC47" i="7" s="1"/>
  <c r="AD43" i="8" s="1"/>
  <c r="AD44" i="8" s="1"/>
  <c r="BS11" i="7"/>
  <c r="BV10" i="7"/>
  <c r="BN10" i="7"/>
  <c r="BR11" i="7"/>
  <c r="BU10" i="7"/>
  <c r="BM10" i="7"/>
  <c r="BQ11" i="7"/>
  <c r="BT10" i="7"/>
  <c r="BL10" i="7"/>
  <c r="BP11" i="7"/>
  <c r="BS10" i="7"/>
  <c r="BV11" i="7"/>
  <c r="BN11" i="7"/>
  <c r="BQ10" i="7"/>
  <c r="BT11" i="7"/>
  <c r="BO11" i="7"/>
  <c r="BM11" i="7"/>
  <c r="BW13" i="7"/>
  <c r="BL11" i="7"/>
  <c r="BR10" i="7"/>
  <c r="BR13" i="7" s="1"/>
  <c r="BP10" i="7"/>
  <c r="BU11" i="7"/>
  <c r="BO10" i="7"/>
  <c r="BW11" i="7"/>
  <c r="X19" i="12"/>
  <c r="Y4" i="7"/>
  <c r="Y32" i="7" s="1"/>
  <c r="E29" i="10"/>
  <c r="AH14" i="7"/>
  <c r="BJ29" i="7"/>
  <c r="AE41" i="3"/>
  <c r="AF3" i="3"/>
  <c r="H171" i="11"/>
  <c r="BJ24" i="7"/>
  <c r="AS17" i="12"/>
  <c r="AS18" i="12" s="1"/>
  <c r="BE26" i="8"/>
  <c r="AT17" i="12"/>
  <c r="AT18" i="12" s="1"/>
  <c r="AO17" i="12"/>
  <c r="AO18" i="12" s="1"/>
  <c r="AK26" i="8"/>
  <c r="J38" i="8"/>
  <c r="J48" i="8" s="1"/>
  <c r="AR42" i="3"/>
  <c r="AR43" i="3" s="1"/>
  <c r="AQ26" i="8"/>
  <c r="BJ10" i="7"/>
  <c r="AX13" i="7"/>
  <c r="BB13" i="7"/>
  <c r="E128" i="11"/>
  <c r="H128" i="11" s="1"/>
  <c r="H81" i="11"/>
  <c r="AO6" i="6"/>
  <c r="AP4" i="6"/>
  <c r="BC9" i="8"/>
  <c r="BC5" i="6"/>
  <c r="BJ16" i="7"/>
  <c r="BR28" i="7"/>
  <c r="BP27" i="7"/>
  <c r="BW26" i="7"/>
  <c r="BO26" i="7"/>
  <c r="BT16" i="7"/>
  <c r="BL16" i="7"/>
  <c r="BQ28" i="7"/>
  <c r="BW27" i="7"/>
  <c r="BO27" i="7"/>
  <c r="BV26" i="7"/>
  <c r="BN26" i="7"/>
  <c r="BS16" i="7"/>
  <c r="BP28" i="7"/>
  <c r="BV27" i="7"/>
  <c r="BN27" i="7"/>
  <c r="BU26" i="7"/>
  <c r="BM26" i="7"/>
  <c r="BR16" i="7"/>
  <c r="BL33" i="7"/>
  <c r="BX33" i="7" s="1"/>
  <c r="BX31" i="7"/>
  <c r="BW28" i="7"/>
  <c r="BO28" i="7"/>
  <c r="BU27" i="7"/>
  <c r="BM27" i="7"/>
  <c r="BT26" i="7"/>
  <c r="BL26" i="7"/>
  <c r="BS25" i="7"/>
  <c r="BQ16" i="7"/>
  <c r="BU28" i="7"/>
  <c r="BM28" i="7"/>
  <c r="BS27" i="7"/>
  <c r="BR26" i="7"/>
  <c r="BW16" i="7"/>
  <c r="BO16" i="7"/>
  <c r="BS28" i="7"/>
  <c r="BQ27" i="7"/>
  <c r="BM16" i="7"/>
  <c r="BN28" i="7"/>
  <c r="BL27" i="7"/>
  <c r="BL28" i="7"/>
  <c r="BW25" i="7"/>
  <c r="BR25" i="7"/>
  <c r="BS26" i="7"/>
  <c r="BP25" i="7"/>
  <c r="BW20" i="7"/>
  <c r="BV16" i="7"/>
  <c r="BT28" i="7"/>
  <c r="BR27" i="7"/>
  <c r="BN16" i="7"/>
  <c r="BT27" i="7"/>
  <c r="BQ26" i="7"/>
  <c r="BO25" i="7"/>
  <c r="BL24" i="7"/>
  <c r="BP16" i="7"/>
  <c r="BV28" i="7"/>
  <c r="BP26" i="7"/>
  <c r="BR20" i="7"/>
  <c r="BP20" i="7"/>
  <c r="BU16" i="7"/>
  <c r="BP24" i="7"/>
  <c r="BQ25" i="7"/>
  <c r="BV20" i="7"/>
  <c r="BN20" i="7"/>
  <c r="BS20" i="7"/>
  <c r="BU24" i="7"/>
  <c r="BM25" i="7"/>
  <c r="BV24" i="7"/>
  <c r="BT24" i="7"/>
  <c r="BL25" i="7"/>
  <c r="BU25" i="7"/>
  <c r="BN25" i="7"/>
  <c r="BQ24" i="7"/>
  <c r="BT20" i="7"/>
  <c r="BO20" i="7"/>
  <c r="BS24" i="7"/>
  <c r="BN24" i="7"/>
  <c r="BT25" i="7"/>
  <c r="BQ20" i="7"/>
  <c r="BL20" i="7"/>
  <c r="BM20" i="7"/>
  <c r="BU20" i="7"/>
  <c r="BV25" i="7"/>
  <c r="BR24" i="7"/>
  <c r="BM24" i="7"/>
  <c r="BO24" i="7"/>
  <c r="BW24" i="7"/>
  <c r="BJ28" i="7"/>
  <c r="J38" i="11"/>
  <c r="L38" i="11" s="1"/>
  <c r="G8" i="9" s="1"/>
  <c r="AM17" i="12"/>
  <c r="AM18" i="12" s="1"/>
  <c r="Y19" i="12"/>
  <c r="Z4" i="7"/>
  <c r="Z32" i="7" s="1"/>
  <c r="Z35" i="7" s="1"/>
  <c r="AP17" i="12"/>
  <c r="AP18" i="12" s="1"/>
  <c r="F29" i="10"/>
  <c r="AV14" i="7"/>
  <c r="AL44" i="3"/>
  <c r="AL45" i="3" s="1"/>
  <c r="AL7" i="3" s="1"/>
  <c r="J46" i="9"/>
  <c r="K6" i="6"/>
  <c r="K20" i="6" s="1"/>
  <c r="K31" i="8" s="1"/>
  <c r="L4" i="6"/>
  <c r="AH30" i="5"/>
  <c r="AW24" i="5"/>
  <c r="AU26" i="8"/>
  <c r="AZ26" i="8"/>
  <c r="BE13" i="7"/>
  <c r="AV30" i="5"/>
  <c r="AV31" i="5" s="1"/>
  <c r="AW29" i="5"/>
  <c r="AJ44" i="3"/>
  <c r="AJ45" i="3" s="1"/>
  <c r="AJ7" i="3" s="1"/>
  <c r="G110" i="11"/>
  <c r="G38" i="13" s="1"/>
  <c r="G40" i="13" s="1"/>
  <c r="AV22" i="5"/>
  <c r="H78" i="11"/>
  <c r="AC27" i="8"/>
  <c r="AB45" i="7"/>
  <c r="AB47" i="7" s="1"/>
  <c r="AC43" i="8" s="1"/>
  <c r="AC44" i="8" s="1"/>
  <c r="AB42" i="7"/>
  <c r="AW18" i="12" l="1"/>
  <c r="AX4" i="7"/>
  <c r="BJ18" i="12"/>
  <c r="BL4" i="7"/>
  <c r="AX18" i="12"/>
  <c r="AR44" i="3"/>
  <c r="AR45" i="3" s="1"/>
  <c r="I30" i="13"/>
  <c r="K46" i="9"/>
  <c r="F65" i="9"/>
  <c r="D65" i="10"/>
  <c r="E65" i="10" s="1"/>
  <c r="F65" i="10" s="1"/>
  <c r="G65" i="10" s="1"/>
  <c r="H65" i="10" s="1"/>
  <c r="L93" i="11"/>
  <c r="H10" i="9" s="1"/>
  <c r="F81" i="11"/>
  <c r="H183" i="11"/>
  <c r="J183" i="11" s="1"/>
  <c r="F231" i="11" s="1"/>
  <c r="E231" i="11"/>
  <c r="E273" i="11"/>
  <c r="H273" i="11" s="1"/>
  <c r="H225" i="11"/>
  <c r="J225" i="11" s="1"/>
  <c r="F273" i="11" s="1"/>
  <c r="CZ27" i="3"/>
  <c r="CY30" i="3"/>
  <c r="CZ30" i="3" s="1"/>
  <c r="BS13" i="7"/>
  <c r="AO29" i="3"/>
  <c r="BX11" i="7"/>
  <c r="BN13" i="7"/>
  <c r="BO26" i="8" s="1"/>
  <c r="AW26" i="8"/>
  <c r="BV13" i="7"/>
  <c r="X30" i="8"/>
  <c r="AW30" i="5"/>
  <c r="AD44" i="3"/>
  <c r="AD45" i="3" s="1"/>
  <c r="AD7" i="3" s="1"/>
  <c r="BO13" i="7"/>
  <c r="J180" i="11"/>
  <c r="F228" i="11" s="1"/>
  <c r="J228" i="11" s="1"/>
  <c r="L140" i="11"/>
  <c r="I10" i="9" s="1"/>
  <c r="BX25" i="7"/>
  <c r="H27" i="10" s="1"/>
  <c r="BM13" i="7"/>
  <c r="BN26" i="8" s="1"/>
  <c r="T143" i="11"/>
  <c r="V143" i="11" s="1"/>
  <c r="R189" i="11" s="1"/>
  <c r="Q189" i="11"/>
  <c r="R99" i="11"/>
  <c r="R110" i="11" s="1"/>
  <c r="V63" i="11"/>
  <c r="G37" i="9" s="1"/>
  <c r="T110" i="11"/>
  <c r="F11" i="10" s="1"/>
  <c r="T146" i="11"/>
  <c r="Q192" i="11"/>
  <c r="Q240" i="11" s="1"/>
  <c r="Q156" i="11"/>
  <c r="AJ8" i="3"/>
  <c r="AJ11" i="3" s="1"/>
  <c r="AJ10" i="3"/>
  <c r="AL8" i="3"/>
  <c r="AL11" i="3" s="1"/>
  <c r="AL10" i="3"/>
  <c r="AN10" i="3"/>
  <c r="AN8" i="3"/>
  <c r="AN11" i="3" s="1"/>
  <c r="AP10" i="3"/>
  <c r="AP8" i="3"/>
  <c r="AP11" i="3" s="1"/>
  <c r="AQ4" i="6"/>
  <c r="AP6" i="6"/>
  <c r="Y35" i="7"/>
  <c r="BX26" i="8"/>
  <c r="BW26" i="8"/>
  <c r="AI44" i="8"/>
  <c r="AI26" i="8"/>
  <c r="AB19" i="8"/>
  <c r="AH31" i="5"/>
  <c r="AO30" i="3"/>
  <c r="AP6" i="8" s="1"/>
  <c r="AP27" i="3"/>
  <c r="AO28" i="3"/>
  <c r="AQ7" i="3"/>
  <c r="AR5" i="3"/>
  <c r="AM8" i="3"/>
  <c r="AM11" i="3" s="1"/>
  <c r="AM10" i="3"/>
  <c r="F78" i="11"/>
  <c r="BX10" i="7"/>
  <c r="BL13" i="7"/>
  <c r="K38" i="8"/>
  <c r="K48" i="8" s="1"/>
  <c r="V43" i="8"/>
  <c r="E110" i="11"/>
  <c r="F122" i="11"/>
  <c r="AO6" i="8"/>
  <c r="AE42" i="3"/>
  <c r="AE43" i="3" s="1"/>
  <c r="BT26" i="8"/>
  <c r="AC30" i="8"/>
  <c r="AC46" i="8"/>
  <c r="AG35" i="8" s="1"/>
  <c r="L6" i="6"/>
  <c r="M4" i="6"/>
  <c r="BF26" i="8"/>
  <c r="BX26" i="7"/>
  <c r="BT13" i="7"/>
  <c r="T44" i="8"/>
  <c r="H46" i="8"/>
  <c r="T46" i="8" s="1"/>
  <c r="H30" i="8"/>
  <c r="BP26" i="8"/>
  <c r="BQ13" i="7"/>
  <c r="AT41" i="3"/>
  <c r="AU3" i="3"/>
  <c r="AF27" i="8"/>
  <c r="Z27" i="8"/>
  <c r="Z42" i="7"/>
  <c r="Z45" i="7"/>
  <c r="Z47" i="7" s="1"/>
  <c r="Z43" i="8" s="1"/>
  <c r="Z44" i="8" s="1"/>
  <c r="AD30" i="8"/>
  <c r="AD46" i="8"/>
  <c r="BX28" i="7"/>
  <c r="BX27" i="7"/>
  <c r="BC26" i="8"/>
  <c r="BP13" i="7"/>
  <c r="BU13" i="7"/>
  <c r="AS42" i="3"/>
  <c r="AS43" i="3" s="1"/>
  <c r="G43" i="9"/>
  <c r="AJ17" i="6"/>
  <c r="AF19" i="12"/>
  <c r="AI19" i="12" s="1"/>
  <c r="AG4" i="7"/>
  <c r="AG27" i="8"/>
  <c r="AO13" i="3"/>
  <c r="BX20" i="7"/>
  <c r="AK8" i="3"/>
  <c r="AK11" i="3" s="1"/>
  <c r="AK10" i="3"/>
  <c r="BX16" i="7"/>
  <c r="BD9" i="8"/>
  <c r="BD5" i="6"/>
  <c r="AY26" i="8"/>
  <c r="BJ13" i="7"/>
  <c r="AF41" i="3"/>
  <c r="AG3" i="3"/>
  <c r="BS26" i="8"/>
  <c r="AC6" i="8"/>
  <c r="BX29" i="7"/>
  <c r="J81" i="11"/>
  <c r="L84" i="11" s="1"/>
  <c r="H9" i="9" s="1"/>
  <c r="BX24" i="7"/>
  <c r="AD27" i="3"/>
  <c r="AC28" i="3"/>
  <c r="AC29" i="3" s="1"/>
  <c r="AC30" i="3" s="1"/>
  <c r="AD6" i="8" s="1"/>
  <c r="AD19" i="8" s="1"/>
  <c r="AP29" i="3"/>
  <c r="L46" i="9" l="1"/>
  <c r="T240" i="11"/>
  <c r="Q288" i="11"/>
  <c r="T288" i="11" s="1"/>
  <c r="T298" i="11" s="1"/>
  <c r="J273" i="11"/>
  <c r="F276" i="11"/>
  <c r="J276" i="11" s="1"/>
  <c r="E279" i="11"/>
  <c r="H231" i="11"/>
  <c r="J231" i="11" s="1"/>
  <c r="E250" i="11"/>
  <c r="T189" i="11"/>
  <c r="V189" i="11" s="1"/>
  <c r="R237" i="11" s="1"/>
  <c r="Q237" i="11"/>
  <c r="BX13" i="7"/>
  <c r="H29" i="10" s="1"/>
  <c r="AM13" i="3"/>
  <c r="AM16" i="3" s="1"/>
  <c r="AL13" i="3"/>
  <c r="AL16" i="3" s="1"/>
  <c r="T156" i="11"/>
  <c r="G11" i="10" s="1"/>
  <c r="V99" i="11"/>
  <c r="V110" i="11" s="1"/>
  <c r="H37" i="9" s="1"/>
  <c r="L186" i="11"/>
  <c r="J10" i="9" s="1"/>
  <c r="T192" i="11"/>
  <c r="Q202" i="11"/>
  <c r="Y27" i="8"/>
  <c r="Y45" i="7"/>
  <c r="Y42" i="7"/>
  <c r="AE27" i="3"/>
  <c r="AD28" i="3"/>
  <c r="AD29" i="3" s="1"/>
  <c r="AD30" i="3" s="1"/>
  <c r="AE6" i="8" s="1"/>
  <c r="BR26" i="8"/>
  <c r="AQ8" i="3"/>
  <c r="AQ11" i="3" s="1"/>
  <c r="AQ10" i="3"/>
  <c r="AN13" i="3"/>
  <c r="J78" i="11"/>
  <c r="L78" i="11" s="1"/>
  <c r="H8" i="9" s="1"/>
  <c r="F110" i="11"/>
  <c r="BE9" i="8"/>
  <c r="BE5" i="6"/>
  <c r="AG32" i="7"/>
  <c r="AH4" i="7"/>
  <c r="E7" i="10"/>
  <c r="AG41" i="3"/>
  <c r="AH3" i="3"/>
  <c r="AH41" i="3" s="1"/>
  <c r="AJ19" i="12"/>
  <c r="AI21" i="12"/>
  <c r="BV26" i="8"/>
  <c r="V44" i="8"/>
  <c r="AM17" i="3"/>
  <c r="AM24" i="3"/>
  <c r="AM39" i="7" s="1"/>
  <c r="AM18" i="3"/>
  <c r="AM14" i="3"/>
  <c r="AQ6" i="6"/>
  <c r="AR4" i="6"/>
  <c r="BQ26" i="8"/>
  <c r="AD8" i="3"/>
  <c r="AD11" i="3" s="1"/>
  <c r="AD10" i="3"/>
  <c r="F128" i="11"/>
  <c r="J128" i="11" s="1"/>
  <c r="L131" i="11" s="1"/>
  <c r="I9" i="9" s="1"/>
  <c r="F46" i="13"/>
  <c r="F7" i="10"/>
  <c r="AU41" i="3"/>
  <c r="AX3" i="3"/>
  <c r="AV3" i="3"/>
  <c r="AV41" i="3" s="1"/>
  <c r="Z30" i="8"/>
  <c r="Z46" i="8"/>
  <c r="AE35" i="8" s="1"/>
  <c r="BM26" i="8"/>
  <c r="G29" i="10"/>
  <c r="BJ14" i="7"/>
  <c r="AP5" i="8"/>
  <c r="AO24" i="3"/>
  <c r="AO39" i="7" s="1"/>
  <c r="AO23" i="3"/>
  <c r="AO18" i="3"/>
  <c r="AO14" i="3"/>
  <c r="AO17" i="3"/>
  <c r="AO16" i="3"/>
  <c r="AT42" i="3"/>
  <c r="AT43" i="3" s="1"/>
  <c r="AT44" i="3"/>
  <c r="F52" i="9"/>
  <c r="F53" i="9" s="1"/>
  <c r="F56" i="9"/>
  <c r="N4" i="6"/>
  <c r="M6" i="6"/>
  <c r="M20" i="6" s="1"/>
  <c r="M31" i="8" s="1"/>
  <c r="M38" i="8" s="1"/>
  <c r="M48" i="8" s="1"/>
  <c r="AR7" i="3"/>
  <c r="AS5" i="3"/>
  <c r="AF42" i="3"/>
  <c r="AF43" i="3" s="1"/>
  <c r="AF44" i="3"/>
  <c r="AJ15" i="6"/>
  <c r="AJ20" i="6"/>
  <c r="BU26" i="8"/>
  <c r="J122" i="11"/>
  <c r="AP30" i="3"/>
  <c r="AQ27" i="3"/>
  <c r="AP28" i="3"/>
  <c r="AC19" i="8"/>
  <c r="BK26" i="8"/>
  <c r="AK13" i="3"/>
  <c r="AS44" i="3"/>
  <c r="AS45" i="3" s="1"/>
  <c r="T30" i="8"/>
  <c r="H38" i="8"/>
  <c r="L20" i="6"/>
  <c r="AE44" i="3"/>
  <c r="AE45" i="3" s="1"/>
  <c r="AE7" i="3" s="1"/>
  <c r="E156" i="11"/>
  <c r="AP13" i="3"/>
  <c r="AJ13" i="3"/>
  <c r="AL17" i="3" l="1"/>
  <c r="AM23" i="3"/>
  <c r="AN5" i="8"/>
  <c r="AM5" i="8"/>
  <c r="AL23" i="3"/>
  <c r="AL24" i="3"/>
  <c r="AL39" i="7" s="1"/>
  <c r="AL14" i="3"/>
  <c r="AM45" i="8" s="1"/>
  <c r="AL20" i="3"/>
  <c r="AM22" i="8" s="1"/>
  <c r="AM42" i="8" s="1"/>
  <c r="AL18" i="3"/>
  <c r="Q250" i="11"/>
  <c r="Q285" i="11"/>
  <c r="Q298" i="11" s="1"/>
  <c r="F279" i="11"/>
  <c r="L234" i="11"/>
  <c r="H279" i="11"/>
  <c r="E298" i="11"/>
  <c r="T237" i="11"/>
  <c r="T250" i="11" s="1"/>
  <c r="AO20" i="3"/>
  <c r="AP22" i="8" s="1"/>
  <c r="AP42" i="8" s="1"/>
  <c r="AQ13" i="3"/>
  <c r="AQ17" i="3" s="1"/>
  <c r="R146" i="11"/>
  <c r="R156" i="11" s="1"/>
  <c r="T202" i="11"/>
  <c r="H11" i="10" s="1"/>
  <c r="BY26" i="8"/>
  <c r="H110" i="11"/>
  <c r="AE10" i="3"/>
  <c r="AE8" i="3"/>
  <c r="AE11" i="3" s="1"/>
  <c r="AQ30" i="3"/>
  <c r="AR6" i="8" s="1"/>
  <c r="AR27" i="3"/>
  <c r="AQ28" i="3"/>
  <c r="AQ6" i="8"/>
  <c r="F125" i="11"/>
  <c r="J110" i="11"/>
  <c r="H11" i="9" s="1"/>
  <c r="AU42" i="3"/>
  <c r="AU43" i="3" s="1"/>
  <c r="AG42" i="3"/>
  <c r="AG43" i="3" s="1"/>
  <c r="AL5" i="8"/>
  <c r="AK14" i="3"/>
  <c r="AK16" i="3"/>
  <c r="AK17" i="3"/>
  <c r="AK18" i="3"/>
  <c r="AK23" i="3"/>
  <c r="AK24" i="3"/>
  <c r="AK39" i="7" s="1"/>
  <c r="AK20" i="3"/>
  <c r="AL22" i="8" s="1"/>
  <c r="F168" i="11"/>
  <c r="AT45" i="3"/>
  <c r="AO38" i="7"/>
  <c r="AO40" i="7" s="1"/>
  <c r="AO25" i="3"/>
  <c r="AP23" i="8" s="1"/>
  <c r="AR6" i="6"/>
  <c r="AS4" i="6"/>
  <c r="AO5" i="8"/>
  <c r="AN17" i="3"/>
  <c r="AN16" i="3"/>
  <c r="AN14" i="3"/>
  <c r="AN18" i="3"/>
  <c r="AN24" i="3"/>
  <c r="AN39" i="7" s="1"/>
  <c r="AN23" i="3"/>
  <c r="AN20" i="3"/>
  <c r="AO22" i="8" s="1"/>
  <c r="AF27" i="3"/>
  <c r="AE28" i="3"/>
  <c r="AE29" i="3" s="1"/>
  <c r="AE30" i="3" s="1"/>
  <c r="AF6" i="8" s="1"/>
  <c r="AM38" i="7"/>
  <c r="AM40" i="7" s="1"/>
  <c r="AM25" i="3"/>
  <c r="AN23" i="8" s="1"/>
  <c r="H156" i="11"/>
  <c r="AF45" i="3"/>
  <c r="AF7" i="3" s="1"/>
  <c r="AT5" i="3"/>
  <c r="AS7" i="3"/>
  <c r="AD13" i="3"/>
  <c r="AJ32" i="7"/>
  <c r="V30" i="8"/>
  <c r="V46" i="8"/>
  <c r="AN45" i="8"/>
  <c r="AN14" i="8"/>
  <c r="AJ21" i="12"/>
  <c r="AK19" i="12"/>
  <c r="BF9" i="8"/>
  <c r="BF5" i="6"/>
  <c r="Y47" i="7"/>
  <c r="AR8" i="3"/>
  <c r="AR11" i="3" s="1"/>
  <c r="AR10" i="3"/>
  <c r="AI23" i="12"/>
  <c r="AI24" i="12"/>
  <c r="AQ5" i="8"/>
  <c r="AP24" i="3"/>
  <c r="AP39" i="7" s="1"/>
  <c r="AP23" i="3"/>
  <c r="AP18" i="3"/>
  <c r="AP16" i="3"/>
  <c r="AP14" i="3"/>
  <c r="AP17" i="3"/>
  <c r="L31" i="8"/>
  <c r="AQ29" i="3"/>
  <c r="AK31" i="8"/>
  <c r="N6" i="6"/>
  <c r="O4" i="6"/>
  <c r="AV42" i="3"/>
  <c r="AV43" i="3" s="1"/>
  <c r="AH42" i="3"/>
  <c r="AH43" i="3" s="1"/>
  <c r="AB27" i="8"/>
  <c r="AK5" i="8"/>
  <c r="AJ16" i="3"/>
  <c r="AJ14" i="3"/>
  <c r="AJ17" i="3"/>
  <c r="AJ23" i="3"/>
  <c r="AJ18" i="3"/>
  <c r="AJ24" i="3"/>
  <c r="AG35" i="7"/>
  <c r="AH32" i="7"/>
  <c r="H48" i="8"/>
  <c r="H49" i="8" s="1"/>
  <c r="I49" i="8" s="1"/>
  <c r="J49" i="8" s="1"/>
  <c r="K49" i="8" s="1"/>
  <c r="AK33" i="8"/>
  <c r="AK14" i="6"/>
  <c r="AP45" i="8"/>
  <c r="AP14" i="8"/>
  <c r="AP19" i="8" s="1"/>
  <c r="AL38" i="7"/>
  <c r="AL40" i="7" s="1"/>
  <c r="AL25" i="3"/>
  <c r="AM23" i="8" s="1"/>
  <c r="AX41" i="3"/>
  <c r="AY3" i="3"/>
  <c r="F174" i="11"/>
  <c r="J174" i="11" s="1"/>
  <c r="AM20" i="3"/>
  <c r="AN22" i="8" s="1"/>
  <c r="AQ14" i="3" l="1"/>
  <c r="AN19" i="8"/>
  <c r="AM14" i="8"/>
  <c r="AQ18" i="3"/>
  <c r="AQ23" i="3"/>
  <c r="AQ38" i="7" s="1"/>
  <c r="AQ40" i="7" s="1"/>
  <c r="AQ24" i="3"/>
  <c r="AQ39" i="7" s="1"/>
  <c r="AM19" i="8"/>
  <c r="V237" i="11"/>
  <c r="V146" i="11"/>
  <c r="V156" i="11" s="1"/>
  <c r="I37" i="9" s="1"/>
  <c r="J279" i="11"/>
  <c r="L282" i="11" s="1"/>
  <c r="L177" i="11"/>
  <c r="J9" i="9" s="1"/>
  <c r="F222" i="11"/>
  <c r="J222" i="11" s="1"/>
  <c r="AQ16" i="3"/>
  <c r="AG44" i="3"/>
  <c r="AR5" i="8"/>
  <c r="AP20" i="3"/>
  <c r="AQ22" i="8" s="1"/>
  <c r="AQ42" i="8" s="1"/>
  <c r="AR29" i="3"/>
  <c r="AH44" i="3"/>
  <c r="G24" i="10"/>
  <c r="G22" i="10"/>
  <c r="H15" i="13" s="1"/>
  <c r="F24" i="10"/>
  <c r="F22" i="10"/>
  <c r="G15" i="13" s="1"/>
  <c r="E202" i="11"/>
  <c r="H202" i="11"/>
  <c r="AR45" i="8"/>
  <c r="AR14" i="8"/>
  <c r="AX42" i="3"/>
  <c r="AX43" i="3" s="1"/>
  <c r="N20" i="6"/>
  <c r="AE5" i="8"/>
  <c r="AD17" i="3"/>
  <c r="AD24" i="3"/>
  <c r="AD23" i="3"/>
  <c r="AD18" i="3"/>
  <c r="AD16" i="3"/>
  <c r="AD14" i="3"/>
  <c r="AK24" i="8"/>
  <c r="AL19" i="12"/>
  <c r="AK21" i="12"/>
  <c r="AS8" i="3"/>
  <c r="AS11" i="3" s="1"/>
  <c r="AS10" i="3"/>
  <c r="AS13" i="3" s="1"/>
  <c r="AG27" i="3"/>
  <c r="AF28" i="3"/>
  <c r="AF29" i="3" s="1"/>
  <c r="AF30" i="3" s="1"/>
  <c r="AG6" i="8" s="1"/>
  <c r="AU44" i="3"/>
  <c r="AU45" i="3" s="1"/>
  <c r="AS27" i="3"/>
  <c r="AS30" i="3" s="1"/>
  <c r="AR30" i="3"/>
  <c r="AS6" i="8" s="1"/>
  <c r="AR28" i="3"/>
  <c r="AJ38" i="7"/>
  <c r="AJ25" i="3"/>
  <c r="AN42" i="8"/>
  <c r="AR13" i="3"/>
  <c r="AJ23" i="12"/>
  <c r="AJ24" i="12"/>
  <c r="AM25" i="8" s="1"/>
  <c r="AU5" i="3"/>
  <c r="AT7" i="3"/>
  <c r="AO42" i="8"/>
  <c r="AS6" i="6"/>
  <c r="AT4" i="6"/>
  <c r="AL45" i="8"/>
  <c r="AL19" i="8"/>
  <c r="BG9" i="8"/>
  <c r="AK32" i="7"/>
  <c r="AK35" i="7" s="1"/>
  <c r="AV44" i="3"/>
  <c r="AL42" i="8"/>
  <c r="P4" i="6"/>
  <c r="O6" i="6"/>
  <c r="O20" i="6" s="1"/>
  <c r="O31" i="8" s="1"/>
  <c r="O38" i="8" s="1"/>
  <c r="O48" i="8" s="1"/>
  <c r="AP38" i="7"/>
  <c r="AP40" i="7" s="1"/>
  <c r="AP25" i="3"/>
  <c r="AQ23" i="8" s="1"/>
  <c r="AJ35" i="7"/>
  <c r="AH27" i="8"/>
  <c r="AI27" i="8" s="1"/>
  <c r="AH35" i="7"/>
  <c r="L38" i="8"/>
  <c r="Y43" i="8"/>
  <c r="J125" i="11"/>
  <c r="F156" i="11"/>
  <c r="AE13" i="3"/>
  <c r="AQ14" i="8"/>
  <c r="AQ19" i="8" s="1"/>
  <c r="AQ45" i="8"/>
  <c r="AF10" i="3"/>
  <c r="AF8" i="3"/>
  <c r="AF11" i="3" s="1"/>
  <c r="AN38" i="7"/>
  <c r="AN40" i="7" s="1"/>
  <c r="AN25" i="3"/>
  <c r="AO23" i="8" s="1"/>
  <c r="J168" i="11"/>
  <c r="F216" i="11" s="1"/>
  <c r="AK45" i="8"/>
  <c r="AK14" i="8"/>
  <c r="AK19" i="8" s="1"/>
  <c r="AZ3" i="3"/>
  <c r="AY41" i="3"/>
  <c r="AK17" i="6"/>
  <c r="AJ39" i="7"/>
  <c r="AL25" i="8"/>
  <c r="X35" i="8"/>
  <c r="AO45" i="8"/>
  <c r="AO14" i="8"/>
  <c r="AO19" i="8" s="1"/>
  <c r="AK38" i="7"/>
  <c r="AK40" i="7" s="1"/>
  <c r="AK25" i="3"/>
  <c r="AL23" i="8" s="1"/>
  <c r="AG45" i="3"/>
  <c r="AG7" i="3" s="1"/>
  <c r="AR19" i="8" l="1"/>
  <c r="AQ25" i="3"/>
  <c r="AR23" i="8" s="1"/>
  <c r="R192" i="11"/>
  <c r="R202" i="11" s="1"/>
  <c r="F270" i="11"/>
  <c r="J270" i="11" s="1"/>
  <c r="L273" i="11" s="1"/>
  <c r="L225" i="11"/>
  <c r="H216" i="11"/>
  <c r="H250" i="11" s="1"/>
  <c r="L125" i="11"/>
  <c r="I8" i="9" s="1"/>
  <c r="J156" i="11"/>
  <c r="I11" i="9" s="1"/>
  <c r="AS29" i="3"/>
  <c r="AX44" i="3"/>
  <c r="V192" i="11"/>
  <c r="R240" i="11" s="1"/>
  <c r="H24" i="10"/>
  <c r="H22" i="10"/>
  <c r="I15" i="13" s="1"/>
  <c r="AH36" i="7"/>
  <c r="AD38" i="7"/>
  <c r="AD25" i="3"/>
  <c r="AL24" i="8"/>
  <c r="AK42" i="7"/>
  <c r="AI45" i="8"/>
  <c r="AD39" i="7"/>
  <c r="AZ41" i="3"/>
  <c r="BA3" i="3"/>
  <c r="AU4" i="6"/>
  <c r="AT6" i="6"/>
  <c r="AK23" i="8"/>
  <c r="AL32" i="7"/>
  <c r="AL35" i="7" s="1"/>
  <c r="AS5" i="8"/>
  <c r="AR16" i="3"/>
  <c r="AR14" i="3"/>
  <c r="AR17" i="3"/>
  <c r="AR20" i="3"/>
  <c r="AS22" i="8" s="1"/>
  <c r="AR18" i="3"/>
  <c r="AR24" i="3"/>
  <c r="AR23" i="3"/>
  <c r="AQ20" i="3"/>
  <c r="AR22" i="8" s="1"/>
  <c r="AH27" i="3"/>
  <c r="AG28" i="3"/>
  <c r="AE45" i="8"/>
  <c r="AE14" i="8"/>
  <c r="AG10" i="3"/>
  <c r="AH10" i="3" s="1"/>
  <c r="AH7" i="3"/>
  <c r="AG8" i="3"/>
  <c r="AF5" i="8"/>
  <c r="AE17" i="3"/>
  <c r="AE16" i="3"/>
  <c r="AE14" i="3"/>
  <c r="AE23" i="3"/>
  <c r="AE18" i="3"/>
  <c r="AE24" i="3"/>
  <c r="AE39" i="7" s="1"/>
  <c r="AK27" i="8"/>
  <c r="Q4" i="6"/>
  <c r="P6" i="6"/>
  <c r="P20" i="6" s="1"/>
  <c r="P31" i="8" s="1"/>
  <c r="P38" i="8" s="1"/>
  <c r="P48" i="8" s="1"/>
  <c r="AL27" i="8"/>
  <c r="AK45" i="7"/>
  <c r="AK47" i="7" s="1"/>
  <c r="AL43" i="8" s="1"/>
  <c r="AL44" i="8" s="1"/>
  <c r="AJ40" i="7"/>
  <c r="AJ42" i="7" s="1"/>
  <c r="AV38" i="7"/>
  <c r="AT5" i="8"/>
  <c r="AS18" i="3"/>
  <c r="AS17" i="3"/>
  <c r="AS24" i="3"/>
  <c r="AS39" i="7" s="1"/>
  <c r="AS23" i="3"/>
  <c r="AS16" i="3"/>
  <c r="AS14" i="3"/>
  <c r="AY42" i="3"/>
  <c r="AY43" i="3" s="1"/>
  <c r="L48" i="8"/>
  <c r="L49" i="8" s="1"/>
  <c r="M49" i="8" s="1"/>
  <c r="BH9" i="8"/>
  <c r="N31" i="8"/>
  <c r="N38" i="8" s="1"/>
  <c r="N48" i="8" s="1"/>
  <c r="AB35" i="8"/>
  <c r="AF13" i="3"/>
  <c r="F171" i="11"/>
  <c r="AT8" i="3"/>
  <c r="AT11" i="3" s="1"/>
  <c r="AT10" i="3"/>
  <c r="AK24" i="12"/>
  <c r="AK23" i="12"/>
  <c r="AX45" i="3"/>
  <c r="Y44" i="8"/>
  <c r="AB43" i="8"/>
  <c r="AK15" i="6"/>
  <c r="AK20" i="6"/>
  <c r="AV5" i="3"/>
  <c r="AU7" i="3"/>
  <c r="AX5" i="3"/>
  <c r="AT27" i="3"/>
  <c r="AT30" i="3" s="1"/>
  <c r="AS28" i="3"/>
  <c r="AM19" i="12"/>
  <c r="AL21" i="12"/>
  <c r="AD20" i="3"/>
  <c r="J216" i="11" l="1"/>
  <c r="F264" i="11" s="1"/>
  <c r="V240" i="11"/>
  <c r="R250" i="11"/>
  <c r="CK5" i="6"/>
  <c r="BZ9" i="8" s="1"/>
  <c r="V202" i="11"/>
  <c r="J37" i="9" s="1"/>
  <c r="AX4" i="6"/>
  <c r="N49" i="8"/>
  <c r="O49" i="8" s="1"/>
  <c r="P49" i="8" s="1"/>
  <c r="AL30" i="8"/>
  <c r="AL46" i="8"/>
  <c r="AM35" i="8" s="1"/>
  <c r="AX7" i="3"/>
  <c r="AY5" i="3"/>
  <c r="AL33" i="8"/>
  <c r="AL14" i="6"/>
  <c r="J171" i="11"/>
  <c r="F219" i="11" s="1"/>
  <c r="F202" i="11"/>
  <c r="AS42" i="8"/>
  <c r="AU8" i="3"/>
  <c r="AU10" i="3"/>
  <c r="AV10" i="3" s="1"/>
  <c r="AV7" i="3"/>
  <c r="AG11" i="3"/>
  <c r="AH11" i="3" s="1"/>
  <c r="AH8" i="3"/>
  <c r="AH28" i="3"/>
  <c r="AG29" i="3"/>
  <c r="AZ42" i="3"/>
  <c r="AZ43" i="3" s="1"/>
  <c r="AE22" i="8"/>
  <c r="AS38" i="7"/>
  <c r="AS40" i="7" s="1"/>
  <c r="AS25" i="3"/>
  <c r="AT23" i="8" s="1"/>
  <c r="AG5" i="8"/>
  <c r="AF24" i="3"/>
  <c r="AF23" i="3"/>
  <c r="AF18" i="3"/>
  <c r="AF16" i="3"/>
  <c r="AF14" i="3"/>
  <c r="AF17" i="3"/>
  <c r="AE20" i="3"/>
  <c r="AF22" i="8" s="1"/>
  <c r="AS45" i="8"/>
  <c r="AS14" i="8"/>
  <c r="AS19" i="8" s="1"/>
  <c r="AE23" i="8"/>
  <c r="AT6" i="8"/>
  <c r="AM24" i="8"/>
  <c r="AL31" i="8"/>
  <c r="AY44" i="3"/>
  <c r="AY45" i="3" s="1"/>
  <c r="Q6" i="6"/>
  <c r="Q20" i="6" s="1"/>
  <c r="Q31" i="8" s="1"/>
  <c r="Q38" i="8" s="1"/>
  <c r="Q48" i="8" s="1"/>
  <c r="R4" i="6"/>
  <c r="AF45" i="8"/>
  <c r="AF14" i="8"/>
  <c r="AF19" i="8" s="1"/>
  <c r="AL23" i="12"/>
  <c r="AL24" i="12"/>
  <c r="AO25" i="8" s="1"/>
  <c r="Y46" i="8"/>
  <c r="Y30" i="8"/>
  <c r="AB44" i="8"/>
  <c r="AE38" i="7"/>
  <c r="AE40" i="7" s="1"/>
  <c r="AE25" i="3"/>
  <c r="AF23" i="8" s="1"/>
  <c r="AN25" i="8"/>
  <c r="AT13" i="3"/>
  <c r="BI9" i="8"/>
  <c r="BI5" i="6"/>
  <c r="AJ45" i="7"/>
  <c r="AE19" i="8"/>
  <c r="AR38" i="7"/>
  <c r="AR25" i="3"/>
  <c r="H44" i="9"/>
  <c r="AU6" i="6"/>
  <c r="AV4" i="6"/>
  <c r="AT29" i="3"/>
  <c r="AR42" i="8"/>
  <c r="AD40" i="7"/>
  <c r="AM21" i="12"/>
  <c r="AN19" i="12"/>
  <c r="AU27" i="3"/>
  <c r="AU30" i="3" s="1"/>
  <c r="AU6" i="8"/>
  <c r="AT28" i="3"/>
  <c r="AD19" i="3"/>
  <c r="AT45" i="8"/>
  <c r="AT14" i="8"/>
  <c r="AR39" i="7"/>
  <c r="AM32" i="7"/>
  <c r="AM27" i="8"/>
  <c r="AL45" i="7"/>
  <c r="AL47" i="7" s="1"/>
  <c r="AM43" i="8" s="1"/>
  <c r="AM44" i="8" s="1"/>
  <c r="BB3" i="3"/>
  <c r="BA41" i="3"/>
  <c r="V250" i="11" l="1"/>
  <c r="K37" i="9" s="1"/>
  <c r="R288" i="11"/>
  <c r="J219" i="11"/>
  <c r="F250" i="11"/>
  <c r="H264" i="11"/>
  <c r="J264" i="11" s="1"/>
  <c r="AT19" i="8"/>
  <c r="AE19" i="3"/>
  <c r="AZ44" i="3"/>
  <c r="AZ45" i="3" s="1"/>
  <c r="J202" i="11"/>
  <c r="J11" i="9" s="1"/>
  <c r="L171" i="11"/>
  <c r="J8" i="9" s="1"/>
  <c r="AU11" i="3"/>
  <c r="AV11" i="3" s="1"/>
  <c r="AV8" i="3"/>
  <c r="AL17" i="6"/>
  <c r="AE42" i="7"/>
  <c r="AE45" i="7"/>
  <c r="AE47" i="7" s="1"/>
  <c r="AF43" i="8" s="1"/>
  <c r="AG45" i="8"/>
  <c r="AG14" i="8"/>
  <c r="BA42" i="3"/>
  <c r="BA43" i="3" s="1"/>
  <c r="BA44" i="3"/>
  <c r="AV27" i="3"/>
  <c r="AX27" i="3"/>
  <c r="AU28" i="3"/>
  <c r="AV28" i="3" s="1"/>
  <c r="BJ9" i="8"/>
  <c r="BK9" i="8" s="1"/>
  <c r="BJ5" i="6"/>
  <c r="BB41" i="3"/>
  <c r="BC3" i="3"/>
  <c r="AN21" i="12"/>
  <c r="AO19" i="12"/>
  <c r="AG13" i="3"/>
  <c r="G28" i="9"/>
  <c r="AG30" i="3"/>
  <c r="AH29" i="3"/>
  <c r="AM24" i="12"/>
  <c r="AP25" i="8" s="1"/>
  <c r="AM23" i="12"/>
  <c r="AB30" i="8"/>
  <c r="Q49" i="8"/>
  <c r="AY7" i="3"/>
  <c r="AZ5" i="3"/>
  <c r="AU29" i="3"/>
  <c r="AM30" i="8"/>
  <c r="AM46" i="8"/>
  <c r="AN35" i="8" s="1"/>
  <c r="AS23" i="8"/>
  <c r="AU5" i="8"/>
  <c r="AT17" i="3"/>
  <c r="AT24" i="3"/>
  <c r="AT23" i="3"/>
  <c r="AT16" i="3"/>
  <c r="AT14" i="3"/>
  <c r="AT18" i="3"/>
  <c r="AS20" i="3"/>
  <c r="AT22" i="8" s="1"/>
  <c r="AD35" i="8"/>
  <c r="AB46" i="8"/>
  <c r="AX10" i="3"/>
  <c r="AX8" i="3"/>
  <c r="AX11" i="3" s="1"/>
  <c r="AF38" i="7"/>
  <c r="AF25" i="3"/>
  <c r="AG23" i="8" s="1"/>
  <c r="AE42" i="8"/>
  <c r="AD45" i="7"/>
  <c r="AD42" i="7"/>
  <c r="AR40" i="7"/>
  <c r="AN32" i="7"/>
  <c r="AN35" i="7" s="1"/>
  <c r="AV6" i="6"/>
  <c r="AN24" i="8"/>
  <c r="AL42" i="7"/>
  <c r="AF39" i="7"/>
  <c r="AM35" i="7"/>
  <c r="AX6" i="6"/>
  <c r="AY4" i="6"/>
  <c r="AJ47" i="7"/>
  <c r="R6" i="6"/>
  <c r="R20" i="6" s="1"/>
  <c r="R31" i="8" s="1"/>
  <c r="R38" i="8" s="1"/>
  <c r="R48" i="8" s="1"/>
  <c r="S4" i="6"/>
  <c r="AF42" i="8"/>
  <c r="AG19" i="8"/>
  <c r="V288" i="11" l="1"/>
  <c r="L37" i="9" s="1"/>
  <c r="R298" i="11"/>
  <c r="F267" i="11"/>
  <c r="L219" i="11"/>
  <c r="J250" i="11"/>
  <c r="AU13" i="3"/>
  <c r="AV13" i="3" s="1"/>
  <c r="F9" i="10" s="1"/>
  <c r="F13" i="10" s="1"/>
  <c r="AF44" i="8"/>
  <c r="AF30" i="8" s="1"/>
  <c r="AM42" i="7"/>
  <c r="AO27" i="8"/>
  <c r="AN45" i="7"/>
  <c r="AN47" i="7" s="1"/>
  <c r="AO43" i="8" s="1"/>
  <c r="AO44" i="8" s="1"/>
  <c r="AO21" i="12"/>
  <c r="AP19" i="12"/>
  <c r="AT38" i="7"/>
  <c r="AT25" i="3"/>
  <c r="R49" i="8"/>
  <c r="AN24" i="12"/>
  <c r="AN23" i="12"/>
  <c r="AV6" i="8"/>
  <c r="AW6" i="8" s="1"/>
  <c r="AV30" i="3"/>
  <c r="AK43" i="8"/>
  <c r="AT39" i="7"/>
  <c r="AH6" i="8"/>
  <c r="AI6" i="8" s="1"/>
  <c r="AH30" i="3"/>
  <c r="AH31" i="3" s="1"/>
  <c r="AX30" i="3"/>
  <c r="AY27" i="3"/>
  <c r="AX28" i="3"/>
  <c r="AY6" i="6"/>
  <c r="AZ4" i="6"/>
  <c r="AF40" i="7"/>
  <c r="AT42" i="8"/>
  <c r="F47" i="13"/>
  <c r="BC41" i="3"/>
  <c r="BD3" i="3"/>
  <c r="AD47" i="7"/>
  <c r="BB42" i="3"/>
  <c r="BB43" i="3" s="1"/>
  <c r="H28" i="9"/>
  <c r="AX29" i="3"/>
  <c r="AV29" i="3"/>
  <c r="BA45" i="3"/>
  <c r="AL15" i="6"/>
  <c r="AL20" i="6"/>
  <c r="AU45" i="8"/>
  <c r="AU14" i="8"/>
  <c r="AU19" i="8" s="1"/>
  <c r="AZ7" i="3"/>
  <c r="BA5" i="3"/>
  <c r="AO24" i="8"/>
  <c r="AN42" i="7"/>
  <c r="AH5" i="8"/>
  <c r="AG24" i="3"/>
  <c r="AG23" i="3"/>
  <c r="AG20" i="3"/>
  <c r="AH22" i="8" s="1"/>
  <c r="AG18" i="3"/>
  <c r="AH18" i="3" s="1"/>
  <c r="E16" i="10" s="1"/>
  <c r="E19" i="10" s="1"/>
  <c r="AG16" i="3"/>
  <c r="AH16" i="3" s="1"/>
  <c r="AG14" i="3"/>
  <c r="AG17" i="3"/>
  <c r="AH17" i="3" s="1"/>
  <c r="AJ20" i="3"/>
  <c r="AH13" i="3"/>
  <c r="E9" i="10" s="1"/>
  <c r="E13" i="10" s="1"/>
  <c r="AF20" i="3"/>
  <c r="AN27" i="8"/>
  <c r="AM45" i="7"/>
  <c r="AX13" i="3"/>
  <c r="AU20" i="3" s="1"/>
  <c r="AV22" i="8" s="1"/>
  <c r="S6" i="6"/>
  <c r="V4" i="6"/>
  <c r="T4" i="6"/>
  <c r="AO32" i="7"/>
  <c r="AO35" i="7" s="1"/>
  <c r="AY8" i="3"/>
  <c r="AY11" i="3" s="1"/>
  <c r="AY10" i="3"/>
  <c r="AV5" i="8" l="1"/>
  <c r="AW5" i="8" s="1"/>
  <c r="AU17" i="3"/>
  <c r="AV17" i="3" s="1"/>
  <c r="AF46" i="8"/>
  <c r="AT20" i="3"/>
  <c r="AU22" i="8" s="1"/>
  <c r="AU42" i="8" s="1"/>
  <c r="AU14" i="3"/>
  <c r="AV14" i="3" s="1"/>
  <c r="AU16" i="3"/>
  <c r="AV16" i="3" s="1"/>
  <c r="AU18" i="3"/>
  <c r="AV18" i="3" s="1"/>
  <c r="F16" i="10" s="1"/>
  <c r="F19" i="10" s="1"/>
  <c r="AU23" i="3"/>
  <c r="AV23" i="3" s="1"/>
  <c r="AU24" i="3"/>
  <c r="AU39" i="7" s="1"/>
  <c r="AV39" i="7" s="1"/>
  <c r="H267" i="11"/>
  <c r="H298" i="11" s="1"/>
  <c r="F298" i="11"/>
  <c r="AY29" i="3"/>
  <c r="AY13" i="3"/>
  <c r="AY18" i="3" s="1"/>
  <c r="AT40" i="7"/>
  <c r="AV31" i="3"/>
  <c r="AV42" i="8"/>
  <c r="AG39" i="7"/>
  <c r="AH39" i="7" s="1"/>
  <c r="AH24" i="3"/>
  <c r="BE3" i="3"/>
  <c r="BD41" i="3"/>
  <c r="AY30" i="3"/>
  <c r="AZ6" i="8" s="1"/>
  <c r="AZ27" i="3"/>
  <c r="AY28" i="3"/>
  <c r="BC42" i="3"/>
  <c r="BC43" i="3" s="1"/>
  <c r="AF45" i="7"/>
  <c r="AF42" i="7"/>
  <c r="AY6" i="8"/>
  <c r="AO30" i="8"/>
  <c r="AO46" i="8"/>
  <c r="AP35" i="8" s="1"/>
  <c r="AP32" i="7"/>
  <c r="AP35" i="7" s="1"/>
  <c r="AY5" i="8"/>
  <c r="AX24" i="3"/>
  <c r="AX23" i="3"/>
  <c r="AX20" i="3"/>
  <c r="AX18" i="3"/>
  <c r="AX16" i="3"/>
  <c r="AX14" i="3"/>
  <c r="AX17" i="3"/>
  <c r="AU23" i="8"/>
  <c r="AP27" i="8"/>
  <c r="AO45" i="7"/>
  <c r="AO47" i="7" s="1"/>
  <c r="AP43" i="8" s="1"/>
  <c r="AP44" i="8" s="1"/>
  <c r="AH45" i="8"/>
  <c r="AH14" i="8"/>
  <c r="AI14" i="8" s="1"/>
  <c r="AH14" i="3"/>
  <c r="AM31" i="8"/>
  <c r="AZ6" i="6"/>
  <c r="BA4" i="6"/>
  <c r="AK22" i="8"/>
  <c r="BB5" i="3"/>
  <c r="BA7" i="3"/>
  <c r="AM33" i="8"/>
  <c r="AM14" i="6"/>
  <c r="AE43" i="8"/>
  <c r="AV24" i="3"/>
  <c r="AI5" i="8"/>
  <c r="AM47" i="7"/>
  <c r="AZ8" i="3"/>
  <c r="AZ11" i="3" s="1"/>
  <c r="AZ10" i="3"/>
  <c r="G47" i="13"/>
  <c r="AP24" i="8"/>
  <c r="AO42" i="7"/>
  <c r="AP21" i="12"/>
  <c r="AQ19" i="12"/>
  <c r="AH42" i="8"/>
  <c r="AQ25" i="8"/>
  <c r="AO23" i="12"/>
  <c r="AO24" i="12"/>
  <c r="AR25" i="8" s="1"/>
  <c r="AZ5" i="8"/>
  <c r="AY24" i="3"/>
  <c r="AY39" i="7" s="1"/>
  <c r="AY23" i="3"/>
  <c r="V6" i="6"/>
  <c r="W4" i="6"/>
  <c r="AV45" i="8"/>
  <c r="AV14" i="8"/>
  <c r="AW14" i="8" s="1"/>
  <c r="S20" i="6"/>
  <c r="T6" i="6"/>
  <c r="AG22" i="8"/>
  <c r="AH20" i="3"/>
  <c r="AF19" i="3"/>
  <c r="AG19" i="3" s="1"/>
  <c r="AG38" i="7"/>
  <c r="AG25" i="3"/>
  <c r="AH23" i="3"/>
  <c r="BB44" i="3"/>
  <c r="BB45" i="3" s="1"/>
  <c r="AV20" i="3" l="1"/>
  <c r="AY17" i="3"/>
  <c r="AY14" i="3"/>
  <c r="AU38" i="7"/>
  <c r="AU40" i="7" s="1"/>
  <c r="AV40" i="7" s="1"/>
  <c r="AY16" i="3"/>
  <c r="AU25" i="3"/>
  <c r="AV23" i="8" s="1"/>
  <c r="AW23" i="8" s="1"/>
  <c r="J267" i="11"/>
  <c r="J298" i="11" s="1"/>
  <c r="AZ13" i="3"/>
  <c r="AY20" i="3" s="1"/>
  <c r="AZ22" i="8" s="1"/>
  <c r="AZ42" i="8" s="1"/>
  <c r="AZ29" i="3"/>
  <c r="AM17" i="6"/>
  <c r="AH23" i="8"/>
  <c r="AH25" i="3"/>
  <c r="E39" i="10" s="1"/>
  <c r="E44" i="10" s="1"/>
  <c r="AG40" i="7"/>
  <c r="AH38" i="7"/>
  <c r="AY38" i="7"/>
  <c r="AY40" i="7" s="1"/>
  <c r="AY25" i="3"/>
  <c r="AZ23" i="8" s="1"/>
  <c r="AM38" i="8"/>
  <c r="AM48" i="8" s="1"/>
  <c r="AK42" i="8"/>
  <c r="AW22" i="8"/>
  <c r="AY22" i="8"/>
  <c r="BD42" i="3"/>
  <c r="BD43" i="3" s="1"/>
  <c r="AN43" i="8"/>
  <c r="G15" i="9"/>
  <c r="AJ19" i="3"/>
  <c r="W6" i="6"/>
  <c r="W20" i="6" s="1"/>
  <c r="W31" i="8" s="1"/>
  <c r="W38" i="8" s="1"/>
  <c r="W48" i="8" s="1"/>
  <c r="X4" i="6"/>
  <c r="AV19" i="8"/>
  <c r="AH19" i="8"/>
  <c r="BA8" i="3"/>
  <c r="BA11" i="3" s="1"/>
  <c r="BA10" i="3"/>
  <c r="BA6" i="6"/>
  <c r="BB4" i="6"/>
  <c r="AX38" i="7"/>
  <c r="AX25" i="3"/>
  <c r="BF3" i="3"/>
  <c r="BE41" i="3"/>
  <c r="V20" i="6"/>
  <c r="AR19" i="12"/>
  <c r="AQ21" i="12"/>
  <c r="BC5" i="3"/>
  <c r="BB7" i="3"/>
  <c r="AX39" i="7"/>
  <c r="AW45" i="8"/>
  <c r="AG42" i="8"/>
  <c r="AI22" i="8"/>
  <c r="AZ24" i="3"/>
  <c r="AZ39" i="7" s="1"/>
  <c r="AZ45" i="8"/>
  <c r="AZ14" i="8"/>
  <c r="AZ19" i="8" s="1"/>
  <c r="AQ24" i="8"/>
  <c r="AP42" i="7"/>
  <c r="AP30" i="8"/>
  <c r="AP46" i="8"/>
  <c r="AQ35" i="8" s="1"/>
  <c r="AY45" i="8"/>
  <c r="AY14" i="8"/>
  <c r="AY19" i="8" s="1"/>
  <c r="AQ32" i="7"/>
  <c r="AQ35" i="7" s="1"/>
  <c r="AF47" i="7"/>
  <c r="AZ30" i="3"/>
  <c r="BA27" i="3"/>
  <c r="AZ28" i="3"/>
  <c r="AP24" i="12"/>
  <c r="AS25" i="8" s="1"/>
  <c r="AP23" i="12"/>
  <c r="S31" i="8"/>
  <c r="T20" i="6"/>
  <c r="AE44" i="8"/>
  <c r="AQ27" i="8"/>
  <c r="AP45" i="7"/>
  <c r="BC44" i="3"/>
  <c r="BC45" i="3" s="1"/>
  <c r="BA5" i="8" l="1"/>
  <c r="AZ16" i="3"/>
  <c r="AZ18" i="3"/>
  <c r="AZ23" i="3"/>
  <c r="AZ38" i="7" s="1"/>
  <c r="AZ40" i="7" s="1"/>
  <c r="AV25" i="3"/>
  <c r="AZ17" i="3"/>
  <c r="AZ14" i="3"/>
  <c r="BA14" i="8" s="1"/>
  <c r="L267" i="11"/>
  <c r="BA29" i="3"/>
  <c r="BB8" i="3"/>
  <c r="BB11" i="3" s="1"/>
  <c r="BB10" i="3"/>
  <c r="BE42" i="3"/>
  <c r="BE43" i="3" s="1"/>
  <c r="BB6" i="6"/>
  <c r="BC4" i="6"/>
  <c r="AK19" i="3"/>
  <c r="AL19" i="3" s="1"/>
  <c r="AM19" i="3" s="1"/>
  <c r="AN19" i="3" s="1"/>
  <c r="AO19" i="3" s="1"/>
  <c r="AP19" i="3" s="1"/>
  <c r="AQ19" i="3" s="1"/>
  <c r="AR19" i="3" s="1"/>
  <c r="AS19" i="3" s="1"/>
  <c r="AT19" i="3" s="1"/>
  <c r="AU19" i="3" s="1"/>
  <c r="AI23" i="8"/>
  <c r="BD5" i="3"/>
  <c r="BC7" i="3"/>
  <c r="BF41" i="3"/>
  <c r="BG3" i="3"/>
  <c r="F22" i="13"/>
  <c r="AY42" i="8"/>
  <c r="AG43" i="8"/>
  <c r="AG44" i="8" s="1"/>
  <c r="AR32" i="7"/>
  <c r="AR35" i="7" s="1"/>
  <c r="AE30" i="8"/>
  <c r="AE46" i="8"/>
  <c r="AR27" i="8"/>
  <c r="AQ45" i="7"/>
  <c r="AQ47" i="7" s="1"/>
  <c r="AR43" i="8" s="1"/>
  <c r="AR44" i="8" s="1"/>
  <c r="AQ24" i="12"/>
  <c r="AT25" i="8" s="1"/>
  <c r="AQ23" i="12"/>
  <c r="BA13" i="3"/>
  <c r="AM15" i="6"/>
  <c r="AM20" i="6"/>
  <c r="AR21" i="12"/>
  <c r="AS19" i="12"/>
  <c r="AN44" i="8"/>
  <c r="AY23" i="8"/>
  <c r="AI19" i="8"/>
  <c r="AI20" i="8" s="1"/>
  <c r="AG42" i="7"/>
  <c r="AG45" i="7"/>
  <c r="AH40" i="7"/>
  <c r="AH42" i="7" s="1"/>
  <c r="BA30" i="3"/>
  <c r="BB6" i="8" s="1"/>
  <c r="BB27" i="3"/>
  <c r="BA28" i="3"/>
  <c r="BA6" i="8"/>
  <c r="BA45" i="8"/>
  <c r="V31" i="8"/>
  <c r="AX40" i="7"/>
  <c r="AW19" i="8"/>
  <c r="AW20" i="8" s="1"/>
  <c r="AK44" i="8"/>
  <c r="AW42" i="8"/>
  <c r="S38" i="8"/>
  <c r="T31" i="8"/>
  <c r="AR24" i="8"/>
  <c r="AQ42" i="7"/>
  <c r="AP47" i="7"/>
  <c r="Y4" i="6"/>
  <c r="X6" i="6"/>
  <c r="X20" i="6" s="1"/>
  <c r="X31" i="8" s="1"/>
  <c r="X38" i="8" s="1"/>
  <c r="X48" i="8" s="1"/>
  <c r="BD44" i="3"/>
  <c r="BD45" i="3" s="1"/>
  <c r="AZ25" i="3" l="1"/>
  <c r="BA23" i="8" s="1"/>
  <c r="BE44" i="3"/>
  <c r="BE45" i="3" s="1"/>
  <c r="H15" i="9"/>
  <c r="AX19" i="3"/>
  <c r="AS27" i="8"/>
  <c r="AR45" i="7"/>
  <c r="BE5" i="3"/>
  <c r="BD7" i="3"/>
  <c r="BC6" i="6"/>
  <c r="BD4" i="6"/>
  <c r="AT19" i="12"/>
  <c r="AS21" i="12"/>
  <c r="BB5" i="8"/>
  <c r="BA16" i="3"/>
  <c r="BA14" i="3"/>
  <c r="BA17" i="3"/>
  <c r="BA24" i="3"/>
  <c r="BA23" i="3"/>
  <c r="BA18" i="3"/>
  <c r="AZ20" i="3"/>
  <c r="AS32" i="7"/>
  <c r="AS35" i="7" s="1"/>
  <c r="Z4" i="6"/>
  <c r="Y6" i="6"/>
  <c r="Y20" i="6" s="1"/>
  <c r="Y31" i="8" s="1"/>
  <c r="Y38" i="8" s="1"/>
  <c r="Y48" i="8" s="1"/>
  <c r="AR24" i="12"/>
  <c r="AU25" i="8" s="1"/>
  <c r="AR23" i="12"/>
  <c r="AS24" i="8"/>
  <c r="AR42" i="7"/>
  <c r="BC8" i="3"/>
  <c r="BC11" i="3" s="1"/>
  <c r="BC10" i="3"/>
  <c r="AN30" i="8"/>
  <c r="AN46" i="8"/>
  <c r="AO35" i="8" s="1"/>
  <c r="AN33" i="8"/>
  <c r="AN14" i="6"/>
  <c r="AG30" i="8"/>
  <c r="AG46" i="8"/>
  <c r="AH35" i="8" s="1"/>
  <c r="AI35" i="8" s="1"/>
  <c r="BB30" i="3"/>
  <c r="BC27" i="3"/>
  <c r="BC30" i="3" s="1"/>
  <c r="BB28" i="3"/>
  <c r="V38" i="8"/>
  <c r="AR30" i="8"/>
  <c r="AR46" i="8"/>
  <c r="AS35" i="8" s="1"/>
  <c r="BG41" i="3"/>
  <c r="BH3" i="3"/>
  <c r="BB13" i="3"/>
  <c r="BA20" i="3" s="1"/>
  <c r="BB22" i="8" s="1"/>
  <c r="AN31" i="8"/>
  <c r="AQ43" i="8"/>
  <c r="BA19" i="8"/>
  <c r="S48" i="8"/>
  <c r="S49" i="8" s="1"/>
  <c r="T38" i="8"/>
  <c r="T39" i="8" s="1"/>
  <c r="BB29" i="3"/>
  <c r="AK30" i="8"/>
  <c r="AK46" i="8"/>
  <c r="AG47" i="7"/>
  <c r="AH45" i="7"/>
  <c r="BF42" i="3"/>
  <c r="BF43" i="3" s="1"/>
  <c r="AT21" i="12" l="1"/>
  <c r="AU21" i="12" s="1"/>
  <c r="BF44" i="3"/>
  <c r="AN38" i="8"/>
  <c r="AN48" i="8" s="1"/>
  <c r="BC29" i="3"/>
  <c r="BB42" i="8"/>
  <c r="BD8" i="3"/>
  <c r="BD11" i="3" s="1"/>
  <c r="BD10" i="3"/>
  <c r="AS24" i="12"/>
  <c r="AV25" i="8" s="1"/>
  <c r="AW25" i="8" s="1"/>
  <c r="AS23" i="12"/>
  <c r="BF5" i="3"/>
  <c r="BE7" i="3"/>
  <c r="BG42" i="3"/>
  <c r="BG43" i="3" s="1"/>
  <c r="BA38" i="7"/>
  <c r="BA25" i="3"/>
  <c r="AR47" i="7"/>
  <c r="BC6" i="8"/>
  <c r="T49" i="8"/>
  <c r="F57" i="9"/>
  <c r="F58" i="9" s="1"/>
  <c r="S52" i="8"/>
  <c r="BC13" i="3"/>
  <c r="BB20" i="3" s="1"/>
  <c r="BC22" i="8" s="1"/>
  <c r="Z6" i="6"/>
  <c r="Z20" i="6" s="1"/>
  <c r="Z31" i="8" s="1"/>
  <c r="Z38" i="8" s="1"/>
  <c r="Z48" i="8" s="1"/>
  <c r="AA4" i="6"/>
  <c r="BA39" i="7"/>
  <c r="BD27" i="3"/>
  <c r="BD6" i="8"/>
  <c r="BC28" i="3"/>
  <c r="AN17" i="6"/>
  <c r="AH43" i="8"/>
  <c r="AH47" i="7"/>
  <c r="V48" i="8"/>
  <c r="V49" i="8" s="1"/>
  <c r="W49" i="8" s="1"/>
  <c r="X49" i="8" s="1"/>
  <c r="Y49" i="8" s="1"/>
  <c r="AT32" i="7"/>
  <c r="AT35" i="7" s="1"/>
  <c r="AY19" i="3"/>
  <c r="AZ19" i="3" s="1"/>
  <c r="BA19" i="3" s="1"/>
  <c r="AL35" i="8"/>
  <c r="AL38" i="8" s="1"/>
  <c r="AL48" i="8" s="1"/>
  <c r="BC5" i="8"/>
  <c r="BB18" i="3"/>
  <c r="BB16" i="3"/>
  <c r="BB14" i="3"/>
  <c r="BB17" i="3"/>
  <c r="BB24" i="3"/>
  <c r="BB39" i="7" s="1"/>
  <c r="BB23" i="3"/>
  <c r="AT27" i="8"/>
  <c r="AS45" i="7"/>
  <c r="AS47" i="7" s="1"/>
  <c r="AT43" i="8" s="1"/>
  <c r="AT44" i="8" s="1"/>
  <c r="BB45" i="8"/>
  <c r="BB14" i="8"/>
  <c r="BB19" i="8" s="1"/>
  <c r="BD6" i="6"/>
  <c r="BE4" i="6"/>
  <c r="G22" i="13"/>
  <c r="AQ44" i="8"/>
  <c r="BF45" i="3"/>
  <c r="BH41" i="3"/>
  <c r="BI3" i="3"/>
  <c r="AT24" i="8"/>
  <c r="AS42" i="7"/>
  <c r="BA22" i="8"/>
  <c r="AT24" i="12" l="1"/>
  <c r="AV6" i="7" s="1"/>
  <c r="AT23" i="12"/>
  <c r="AX19" i="12"/>
  <c r="AW21" i="12"/>
  <c r="BD13" i="3"/>
  <c r="BD17" i="3" s="1"/>
  <c r="BB19" i="3"/>
  <c r="BB23" i="8"/>
  <c r="AA6" i="6"/>
  <c r="AA20" i="6" s="1"/>
  <c r="AB4" i="6"/>
  <c r="BA40" i="7"/>
  <c r="BB38" i="7"/>
  <c r="BB40" i="7" s="1"/>
  <c r="BB25" i="3"/>
  <c r="BC23" i="8" s="1"/>
  <c r="BC42" i="8"/>
  <c r="AN15" i="6"/>
  <c r="AN20" i="6"/>
  <c r="BE5" i="8"/>
  <c r="BD16" i="3"/>
  <c r="AQ30" i="8"/>
  <c r="AQ46" i="8"/>
  <c r="G7" i="10"/>
  <c r="BJ3" i="3"/>
  <c r="BJ41" i="3" s="1"/>
  <c r="BL3" i="3"/>
  <c r="BI41" i="3"/>
  <c r="BD5" i="8"/>
  <c r="BC17" i="3"/>
  <c r="BC16" i="3"/>
  <c r="BC18" i="3"/>
  <c r="BC14" i="3"/>
  <c r="BC24" i="3"/>
  <c r="BC39" i="7" s="1"/>
  <c r="BC23" i="3"/>
  <c r="AS43" i="8"/>
  <c r="AH44" i="8"/>
  <c r="AI43" i="8"/>
  <c r="AU24" i="12"/>
  <c r="AU23" i="12"/>
  <c r="BG44" i="3"/>
  <c r="BG45" i="3" s="1"/>
  <c r="BA42" i="8"/>
  <c r="AT30" i="8"/>
  <c r="AT46" i="8"/>
  <c r="AU35" i="8" s="1"/>
  <c r="BC45" i="8"/>
  <c r="BC14" i="8"/>
  <c r="BC19" i="8" s="1"/>
  <c r="BH42" i="3"/>
  <c r="BH43" i="3" s="1"/>
  <c r="AU32" i="7"/>
  <c r="AV4" i="7"/>
  <c r="BE27" i="3"/>
  <c r="BD30" i="3"/>
  <c r="BD28" i="3"/>
  <c r="BE10" i="3"/>
  <c r="BE8" i="3"/>
  <c r="BE11" i="3" s="1"/>
  <c r="AU27" i="8"/>
  <c r="AT45" i="7"/>
  <c r="AT47" i="7" s="1"/>
  <c r="AU43" i="8" s="1"/>
  <c r="AU44" i="8" s="1"/>
  <c r="BF7" i="3"/>
  <c r="BG5" i="3"/>
  <c r="BE6" i="6"/>
  <c r="BF4" i="6"/>
  <c r="Z49" i="8"/>
  <c r="BD29" i="3"/>
  <c r="BE29" i="3" s="1"/>
  <c r="AU24" i="8"/>
  <c r="AT42" i="7"/>
  <c r="BD23" i="3" l="1"/>
  <c r="BD24" i="3"/>
  <c r="BD39" i="7" s="1"/>
  <c r="BD14" i="3"/>
  <c r="BD18" i="3"/>
  <c r="BC20" i="3"/>
  <c r="BD22" i="8" s="1"/>
  <c r="BD42" i="8" s="1"/>
  <c r="AV5" i="7"/>
  <c r="AY25" i="8"/>
  <c r="AV24" i="8"/>
  <c r="AW24" i="8" s="1"/>
  <c r="AW24" i="12"/>
  <c r="AW23" i="12"/>
  <c r="AY19" i="12"/>
  <c r="AX21" i="12"/>
  <c r="BD38" i="7"/>
  <c r="BD40" i="7" s="1"/>
  <c r="BD25" i="3"/>
  <c r="BE23" i="8" s="1"/>
  <c r="AA31" i="8"/>
  <c r="BC38" i="7"/>
  <c r="BC40" i="7" s="1"/>
  <c r="BC25" i="3"/>
  <c r="BF29" i="3"/>
  <c r="BG7" i="3"/>
  <c r="BH5" i="3"/>
  <c r="BF27" i="3"/>
  <c r="BE30" i="3"/>
  <c r="BF6" i="8" s="1"/>
  <c r="BE28" i="3"/>
  <c r="AR35" i="8"/>
  <c r="BF10" i="3"/>
  <c r="BF8" i="3"/>
  <c r="BF11" i="3" s="1"/>
  <c r="AX32" i="7"/>
  <c r="AH30" i="8"/>
  <c r="AH46" i="8"/>
  <c r="AK35" i="8" s="1"/>
  <c r="BD45" i="8"/>
  <c r="BD14" i="8"/>
  <c r="BD19" i="8" s="1"/>
  <c r="BI42" i="3"/>
  <c r="BI43" i="3" s="1"/>
  <c r="BE6" i="8"/>
  <c r="BF6" i="6"/>
  <c r="BG4" i="6"/>
  <c r="BE13" i="3"/>
  <c r="AU35" i="7"/>
  <c r="AV32" i="7"/>
  <c r="BM3" i="3"/>
  <c r="BL41" i="3"/>
  <c r="BE45" i="8"/>
  <c r="BE14" i="8"/>
  <c r="BJ42" i="3"/>
  <c r="BJ43" i="3" s="1"/>
  <c r="AO31" i="8"/>
  <c r="AU30" i="8"/>
  <c r="AU46" i="8"/>
  <c r="AV35" i="8" s="1"/>
  <c r="BH44" i="3"/>
  <c r="BH45" i="3" s="1"/>
  <c r="AS44" i="8"/>
  <c r="AO33" i="8"/>
  <c r="AO14" i="6"/>
  <c r="AB6" i="6"/>
  <c r="AB20" i="6" s="1"/>
  <c r="AC31" i="8" s="1"/>
  <c r="AC38" i="8" s="1"/>
  <c r="AC48" i="8" s="1"/>
  <c r="AC4" i="6"/>
  <c r="BC19" i="3" l="1"/>
  <c r="AV7" i="7"/>
  <c r="AV8" i="7" s="1"/>
  <c r="AU42" i="7"/>
  <c r="AX23" i="12"/>
  <c r="AX24" i="12"/>
  <c r="AZ19" i="12"/>
  <c r="AY21" i="12"/>
  <c r="BI44" i="3"/>
  <c r="BI45" i="3" s="1"/>
  <c r="BE19" i="8"/>
  <c r="BF13" i="3"/>
  <c r="BF24" i="3" s="1"/>
  <c r="BF39" i="7" s="1"/>
  <c r="AO38" i="8"/>
  <c r="AO48" i="8" s="1"/>
  <c r="BG5" i="8"/>
  <c r="BF17" i="3"/>
  <c r="BF16" i="3"/>
  <c r="BH7" i="3"/>
  <c r="BI5" i="3"/>
  <c r="BG10" i="3"/>
  <c r="BG8" i="3"/>
  <c r="BG11" i="3" s="1"/>
  <c r="BF5" i="8"/>
  <c r="BE17" i="3"/>
  <c r="BE16" i="3"/>
  <c r="BE14" i="3"/>
  <c r="BE23" i="3"/>
  <c r="BE24" i="3"/>
  <c r="BE39" i="7" s="1"/>
  <c r="BE18" i="3"/>
  <c r="BE20" i="3"/>
  <c r="BF22" i="8" s="1"/>
  <c r="BD20" i="3"/>
  <c r="AV27" i="8"/>
  <c r="AU45" i="7"/>
  <c r="AV35" i="7"/>
  <c r="BJ44" i="3"/>
  <c r="BG6" i="6"/>
  <c r="BH4" i="6"/>
  <c r="G47" i="9"/>
  <c r="AK38" i="8"/>
  <c r="AC6" i="6"/>
  <c r="AC20" i="6" s="1"/>
  <c r="AD31" i="8" s="1"/>
  <c r="AD38" i="8" s="1"/>
  <c r="AD48" i="8" s="1"/>
  <c r="AD4" i="6"/>
  <c r="BL42" i="3"/>
  <c r="BL43" i="3" s="1"/>
  <c r="AI30" i="8"/>
  <c r="BD23" i="8"/>
  <c r="BN3" i="3"/>
  <c r="BM41" i="3"/>
  <c r="AX35" i="7"/>
  <c r="AY32" i="7"/>
  <c r="AY35" i="7" s="1"/>
  <c r="AO17" i="6"/>
  <c r="AS30" i="8"/>
  <c r="AS46" i="8"/>
  <c r="BF30" i="3"/>
  <c r="BG27" i="3"/>
  <c r="BF28" i="3"/>
  <c r="AA38" i="8"/>
  <c r="AB31" i="8"/>
  <c r="F20" i="10" l="1"/>
  <c r="AY24" i="12"/>
  <c r="AY23" i="12"/>
  <c r="AZ21" i="12"/>
  <c r="BA19" i="12"/>
  <c r="BF14" i="3"/>
  <c r="BG45" i="8" s="1"/>
  <c r="BF18" i="3"/>
  <c r="BF23" i="3"/>
  <c r="BF25" i="3" s="1"/>
  <c r="BG23" i="8" s="1"/>
  <c r="BG13" i="3"/>
  <c r="BF20" i="3" s="1"/>
  <c r="BG22" i="8" s="1"/>
  <c r="BG42" i="8" s="1"/>
  <c r="AT35" i="8"/>
  <c r="BL44" i="3"/>
  <c r="BL45" i="3" s="1"/>
  <c r="BH6" i="6"/>
  <c r="BI4" i="6"/>
  <c r="BG14" i="8"/>
  <c r="AA48" i="8"/>
  <c r="AB38" i="8"/>
  <c r="BO3" i="3"/>
  <c r="BN41" i="3"/>
  <c r="AD6" i="6"/>
  <c r="AD20" i="6" s="1"/>
  <c r="AE31" i="8" s="1"/>
  <c r="AE38" i="8" s="1"/>
  <c r="AE48" i="8" s="1"/>
  <c r="AE4" i="6"/>
  <c r="BF42" i="8"/>
  <c r="BE22" i="8"/>
  <c r="BD19" i="3"/>
  <c r="F39" i="10"/>
  <c r="F44" i="10" s="1"/>
  <c r="F45" i="10" s="1"/>
  <c r="AV36" i="7"/>
  <c r="AK48" i="8"/>
  <c r="AK49" i="8" s="1"/>
  <c r="AL49" i="8" s="1"/>
  <c r="AM49" i="8" s="1"/>
  <c r="AN49" i="8" s="1"/>
  <c r="AO49" i="8" s="1"/>
  <c r="BG14" i="3"/>
  <c r="BG17" i="3"/>
  <c r="BG6" i="8"/>
  <c r="AW27" i="8"/>
  <c r="BE38" i="7"/>
  <c r="BE25" i="3"/>
  <c r="BI7" i="3"/>
  <c r="BL5" i="3"/>
  <c r="BM42" i="3"/>
  <c r="BM43" i="3" s="1"/>
  <c r="AO15" i="6"/>
  <c r="AO20" i="6"/>
  <c r="AP31" i="8" s="1"/>
  <c r="AY27" i="8"/>
  <c r="AX45" i="7"/>
  <c r="BG30" i="3"/>
  <c r="BH6" i="8" s="1"/>
  <c r="BH27" i="3"/>
  <c r="BG28" i="3"/>
  <c r="AZ27" i="8"/>
  <c r="AY45" i="7"/>
  <c r="AY47" i="7" s="1"/>
  <c r="AZ43" i="8" s="1"/>
  <c r="AZ44" i="8" s="1"/>
  <c r="AZ32" i="7"/>
  <c r="AV42" i="7"/>
  <c r="F31" i="13"/>
  <c r="BG29" i="3"/>
  <c r="BF45" i="8"/>
  <c r="BF14" i="8"/>
  <c r="BF19" i="8" s="1"/>
  <c r="BH8" i="3"/>
  <c r="BH11" i="3" s="1"/>
  <c r="BH10" i="3"/>
  <c r="AU47" i="7"/>
  <c r="AV45" i="7"/>
  <c r="BF38" i="7" l="1"/>
  <c r="BF40" i="7" s="1"/>
  <c r="BA21" i="12"/>
  <c r="BB19" i="12"/>
  <c r="AZ24" i="12"/>
  <c r="AZ23" i="12"/>
  <c r="BH13" i="3"/>
  <c r="BH18" i="3" s="1"/>
  <c r="BG16" i="3"/>
  <c r="BG18" i="3"/>
  <c r="BG23" i="3"/>
  <c r="BG19" i="8"/>
  <c r="BH5" i="8"/>
  <c r="BG24" i="3"/>
  <c r="BG39" i="7" s="1"/>
  <c r="BE19" i="3"/>
  <c r="BF19" i="3" s="1"/>
  <c r="BN42" i="3"/>
  <c r="BN43" i="3" s="1"/>
  <c r="AX47" i="7"/>
  <c r="BO41" i="3"/>
  <c r="BP3" i="3"/>
  <c r="I44" i="9"/>
  <c r="BI6" i="6"/>
  <c r="BJ4" i="6"/>
  <c r="BA32" i="7"/>
  <c r="BA35" i="7" s="1"/>
  <c r="AZ30" i="8"/>
  <c r="AZ46" i="8"/>
  <c r="BA35" i="8" s="1"/>
  <c r="BM5" i="3"/>
  <c r="BL7" i="3"/>
  <c r="BG38" i="7"/>
  <c r="BE42" i="8"/>
  <c r="BH29" i="3"/>
  <c r="BJ7" i="3"/>
  <c r="BI10" i="3"/>
  <c r="BI8" i="3"/>
  <c r="AA49" i="8"/>
  <c r="BF23" i="8"/>
  <c r="AV43" i="8"/>
  <c r="AV47" i="7"/>
  <c r="AP33" i="8"/>
  <c r="AP38" i="8" s="1"/>
  <c r="AP14" i="6"/>
  <c r="BE40" i="7"/>
  <c r="AE6" i="6"/>
  <c r="AE20" i="6" s="1"/>
  <c r="AF31" i="8" s="1"/>
  <c r="AF4" i="6"/>
  <c r="AW35" i="8"/>
  <c r="BH45" i="8"/>
  <c r="BH14" i="8"/>
  <c r="AZ35" i="7"/>
  <c r="BI5" i="8"/>
  <c r="BH24" i="3"/>
  <c r="BH39" i="7" s="1"/>
  <c r="BH23" i="3"/>
  <c r="F46" i="10"/>
  <c r="F47" i="10"/>
  <c r="BI6" i="8"/>
  <c r="BI27" i="3"/>
  <c r="BH28" i="3"/>
  <c r="BM44" i="3"/>
  <c r="BM45" i="3" s="1"/>
  <c r="BU5" i="6" l="1"/>
  <c r="BV9" i="8" s="1"/>
  <c r="BM5" i="6"/>
  <c r="BN9" i="8" s="1"/>
  <c r="BN5" i="6"/>
  <c r="BO9" i="8" s="1"/>
  <c r="BV5" i="6"/>
  <c r="BW9" i="8" s="1"/>
  <c r="BO5" i="6"/>
  <c r="BP9" i="8" s="1"/>
  <c r="BW5" i="6"/>
  <c r="BX9" i="8" s="1"/>
  <c r="BP5" i="6"/>
  <c r="BQ9" i="8" s="1"/>
  <c r="BL5" i="6"/>
  <c r="BQ5" i="6"/>
  <c r="BR9" i="8" s="1"/>
  <c r="BR5" i="6"/>
  <c r="BS9" i="8" s="1"/>
  <c r="BS5" i="6"/>
  <c r="BT9" i="8" s="1"/>
  <c r="BT5" i="6"/>
  <c r="BU9" i="8" s="1"/>
  <c r="BG20" i="3"/>
  <c r="BH22" i="8" s="1"/>
  <c r="BH42" i="8" s="1"/>
  <c r="BH19" i="8"/>
  <c r="BH14" i="3"/>
  <c r="BH16" i="3"/>
  <c r="BH17" i="3"/>
  <c r="BA24" i="12"/>
  <c r="BA23" i="12"/>
  <c r="BB21" i="12"/>
  <c r="BC19" i="12"/>
  <c r="BG25" i="3"/>
  <c r="BH23" i="8" s="1"/>
  <c r="BG40" i="7"/>
  <c r="BJ27" i="3"/>
  <c r="BL27" i="3"/>
  <c r="BI28" i="3"/>
  <c r="BJ28" i="3" s="1"/>
  <c r="BL8" i="3"/>
  <c r="BL11" i="3" s="1"/>
  <c r="BL10" i="3"/>
  <c r="BH38" i="7"/>
  <c r="BH25" i="3"/>
  <c r="AP17" i="6"/>
  <c r="AP48" i="8"/>
  <c r="AP49" i="8" s="1"/>
  <c r="BI11" i="3"/>
  <c r="BJ11" i="3" s="1"/>
  <c r="BJ8" i="3"/>
  <c r="BN5" i="3"/>
  <c r="BM7" i="3"/>
  <c r="H48" i="13"/>
  <c r="AC49" i="8"/>
  <c r="AD49" i="8" s="1"/>
  <c r="AE49" i="8" s="1"/>
  <c r="AA52" i="8"/>
  <c r="BJ10" i="3"/>
  <c r="BP41" i="3"/>
  <c r="BQ3" i="3"/>
  <c r="AY43" i="8"/>
  <c r="BJ6" i="6"/>
  <c r="BB32" i="7"/>
  <c r="BO42" i="3"/>
  <c r="BO43" i="3" s="1"/>
  <c r="BI45" i="8"/>
  <c r="BI14" i="8"/>
  <c r="BI19" i="8" s="1"/>
  <c r="BA27" i="8"/>
  <c r="AZ45" i="7"/>
  <c r="AG4" i="6"/>
  <c r="AF6" i="6"/>
  <c r="AF20" i="6" s="1"/>
  <c r="AG31" i="8" s="1"/>
  <c r="AG38" i="8" s="1"/>
  <c r="AG48" i="8" s="1"/>
  <c r="AV44" i="8"/>
  <c r="AW43" i="8"/>
  <c r="BI29" i="3"/>
  <c r="BB27" i="8"/>
  <c r="BA45" i="7"/>
  <c r="BA47" i="7" s="1"/>
  <c r="BB43" i="8" s="1"/>
  <c r="BB44" i="8" s="1"/>
  <c r="BN44" i="3"/>
  <c r="BN45" i="3" s="1"/>
  <c r="AF38" i="8"/>
  <c r="BG19" i="3" l="1"/>
  <c r="BD19" i="12"/>
  <c r="BC21" i="12"/>
  <c r="BB23" i="12"/>
  <c r="BB24" i="12"/>
  <c r="BI13" i="3"/>
  <c r="BJ5" i="8" s="1"/>
  <c r="BB30" i="8"/>
  <c r="BB46" i="8"/>
  <c r="BC35" i="8" s="1"/>
  <c r="BL13" i="3"/>
  <c r="AF48" i="8"/>
  <c r="AF49" i="8" s="1"/>
  <c r="AG49" i="8" s="1"/>
  <c r="AY44" i="8"/>
  <c r="BQ41" i="3"/>
  <c r="BR3" i="3"/>
  <c r="BM27" i="3"/>
  <c r="BL30" i="3"/>
  <c r="BL28" i="3"/>
  <c r="I28" i="9"/>
  <c r="BL29" i="3"/>
  <c r="BJ29" i="3"/>
  <c r="G44" i="9"/>
  <c r="G48" i="9" s="1"/>
  <c r="AH4" i="6"/>
  <c r="AG6" i="6"/>
  <c r="BO44" i="3"/>
  <c r="BO45" i="3" s="1"/>
  <c r="BP42" i="3"/>
  <c r="BP43" i="3" s="1"/>
  <c r="AV30" i="8"/>
  <c r="AW30" i="8" s="1"/>
  <c r="AV46" i="8"/>
  <c r="AW44" i="8"/>
  <c r="AZ47" i="7"/>
  <c r="BB35" i="7"/>
  <c r="BM8" i="3"/>
  <c r="BM11" i="3" s="1"/>
  <c r="BM10" i="3"/>
  <c r="BI23" i="8"/>
  <c r="BI23" i="3"/>
  <c r="BI24" i="3"/>
  <c r="BJ13" i="3"/>
  <c r="G9" i="10" s="1"/>
  <c r="G13" i="10" s="1"/>
  <c r="BC32" i="7"/>
  <c r="BC35" i="7" s="1"/>
  <c r="AP15" i="6"/>
  <c r="AQ14" i="6" s="1"/>
  <c r="AQ15" i="6" s="1"/>
  <c r="AR14" i="6" s="1"/>
  <c r="AP20" i="6"/>
  <c r="AQ31" i="8" s="1"/>
  <c r="BJ6" i="8"/>
  <c r="BK6" i="8" s="1"/>
  <c r="BJ30" i="3"/>
  <c r="BO5" i="3"/>
  <c r="BN7" i="3"/>
  <c r="BH40" i="7"/>
  <c r="BI18" i="3" l="1"/>
  <c r="BJ18" i="3" s="1"/>
  <c r="G16" i="10" s="1"/>
  <c r="G19" i="10" s="1"/>
  <c r="BI17" i="3"/>
  <c r="BJ17" i="3" s="1"/>
  <c r="BI14" i="3"/>
  <c r="BI16" i="3"/>
  <c r="BJ16" i="3" s="1"/>
  <c r="BH20" i="3"/>
  <c r="BI22" i="8" s="1"/>
  <c r="BI20" i="3"/>
  <c r="BJ22" i="8" s="1"/>
  <c r="BC23" i="12"/>
  <c r="BC24" i="12"/>
  <c r="BD21" i="12"/>
  <c r="BE19" i="12"/>
  <c r="BM13" i="3"/>
  <c r="BL20" i="3" s="1"/>
  <c r="AY35" i="8"/>
  <c r="AW46" i="8"/>
  <c r="H47" i="13"/>
  <c r="BR41" i="3"/>
  <c r="BS3" i="3"/>
  <c r="BN10" i="3"/>
  <c r="BN8" i="3"/>
  <c r="BN11" i="3" s="1"/>
  <c r="BK5" i="8"/>
  <c r="BP44" i="3"/>
  <c r="BP45" i="3" s="1"/>
  <c r="AG20" i="6"/>
  <c r="AH6" i="6"/>
  <c r="BQ42" i="3"/>
  <c r="BQ43" i="3" s="1"/>
  <c r="BC27" i="8"/>
  <c r="BB45" i="7"/>
  <c r="G48" i="13"/>
  <c r="F48" i="13"/>
  <c r="F53" i="13" s="1"/>
  <c r="BM6" i="8"/>
  <c r="BM29" i="3"/>
  <c r="BJ45" i="8"/>
  <c r="BJ14" i="8"/>
  <c r="BK14" i="8" s="1"/>
  <c r="BJ14" i="3"/>
  <c r="BO7" i="3"/>
  <c r="BP5" i="3"/>
  <c r="AQ33" i="8"/>
  <c r="AQ38" i="8" s="1"/>
  <c r="BD32" i="7"/>
  <c r="BD35" i="7" s="1"/>
  <c r="BI38" i="7"/>
  <c r="BI25" i="3"/>
  <c r="BJ23" i="3"/>
  <c r="BA43" i="8"/>
  <c r="BJ31" i="3"/>
  <c r="BN27" i="3"/>
  <c r="BM30" i="3"/>
  <c r="BM28" i="3"/>
  <c r="AY30" i="8"/>
  <c r="AY46" i="8"/>
  <c r="BI39" i="7"/>
  <c r="BJ39" i="7" s="1"/>
  <c r="BJ24" i="3"/>
  <c r="BD27" i="8"/>
  <c r="BC45" i="7"/>
  <c r="BC47" i="7" s="1"/>
  <c r="BD43" i="8" s="1"/>
  <c r="BD44" i="8" s="1"/>
  <c r="BM5" i="8"/>
  <c r="BL17" i="3"/>
  <c r="BL24" i="3"/>
  <c r="BL16" i="3"/>
  <c r="BL23" i="3"/>
  <c r="BL14" i="3"/>
  <c r="BL18" i="3"/>
  <c r="BJ20" i="3" l="1"/>
  <c r="BH19" i="3"/>
  <c r="BF19" i="12"/>
  <c r="BE21" i="12"/>
  <c r="BD24" i="12"/>
  <c r="BD23" i="12"/>
  <c r="BB47" i="7"/>
  <c r="BS41" i="3"/>
  <c r="BT3" i="3"/>
  <c r="BM22" i="8"/>
  <c r="AQ48" i="8"/>
  <c r="AQ49" i="8" s="1"/>
  <c r="BA44" i="8"/>
  <c r="BP7" i="3"/>
  <c r="BQ5" i="3"/>
  <c r="BN13" i="3"/>
  <c r="BR42" i="3"/>
  <c r="BR43" i="3" s="1"/>
  <c r="BJ42" i="8"/>
  <c r="BN5" i="8"/>
  <c r="BM17" i="3"/>
  <c r="BM24" i="3"/>
  <c r="BM39" i="7" s="1"/>
  <c r="BM23" i="3"/>
  <c r="BM18" i="3"/>
  <c r="BM16" i="3"/>
  <c r="BM14" i="3"/>
  <c r="BE27" i="8"/>
  <c r="BD45" i="7"/>
  <c r="BD47" i="7" s="1"/>
  <c r="BE43" i="8" s="1"/>
  <c r="BE44" i="8" s="1"/>
  <c r="AQ17" i="6"/>
  <c r="AZ35" i="8"/>
  <c r="H47" i="9" s="1"/>
  <c r="BL38" i="7"/>
  <c r="BL25" i="3"/>
  <c r="BJ23" i="8"/>
  <c r="BK23" i="8" s="1"/>
  <c r="BJ25" i="3"/>
  <c r="BJ19" i="8"/>
  <c r="BD30" i="8"/>
  <c r="BD46" i="8"/>
  <c r="BE35" i="8" s="1"/>
  <c r="BI19" i="3"/>
  <c r="AH31" i="8"/>
  <c r="AH20" i="6"/>
  <c r="E49" i="10" s="1"/>
  <c r="E50" i="10" s="1"/>
  <c r="BM45" i="8"/>
  <c r="BM14" i="8"/>
  <c r="BO8" i="3"/>
  <c r="BO11" i="3" s="1"/>
  <c r="BO10" i="3"/>
  <c r="BN6" i="8"/>
  <c r="BN29" i="3"/>
  <c r="BI40" i="7"/>
  <c r="BJ40" i="7" s="1"/>
  <c r="BJ38" i="7"/>
  <c r="BL39" i="7"/>
  <c r="BO27" i="3"/>
  <c r="BN30" i="3"/>
  <c r="BN28" i="3"/>
  <c r="BE32" i="7"/>
  <c r="BE35" i="7" s="1"/>
  <c r="BK45" i="8"/>
  <c r="BQ44" i="3"/>
  <c r="BQ45" i="3" s="1"/>
  <c r="BI42" i="8"/>
  <c r="BK22" i="8"/>
  <c r="BE23" i="12" l="1"/>
  <c r="BE24" i="12"/>
  <c r="BF21" i="12"/>
  <c r="BG19" i="12"/>
  <c r="BR44" i="3"/>
  <c r="BR45" i="3" s="1"/>
  <c r="BM23" i="8"/>
  <c r="BE30" i="8"/>
  <c r="BE46" i="8"/>
  <c r="BF35" i="8" s="1"/>
  <c r="BO5" i="8"/>
  <c r="BN17" i="3"/>
  <c r="BN16" i="3"/>
  <c r="BN14" i="3"/>
  <c r="BN23" i="3"/>
  <c r="BN24" i="3"/>
  <c r="BN18" i="3"/>
  <c r="BS42" i="3"/>
  <c r="BS43" i="3" s="1"/>
  <c r="BN45" i="8"/>
  <c r="BN14" i="8"/>
  <c r="BK42" i="8"/>
  <c r="BQ7" i="3"/>
  <c r="BR5" i="3"/>
  <c r="BF27" i="8"/>
  <c r="BE45" i="7"/>
  <c r="BE47" i="7" s="1"/>
  <c r="BF43" i="8" s="1"/>
  <c r="BF44" i="8" s="1"/>
  <c r="BL40" i="7"/>
  <c r="AH38" i="8"/>
  <c r="AI31" i="8"/>
  <c r="BP10" i="3"/>
  <c r="BP8" i="3"/>
  <c r="BP11" i="3" s="1"/>
  <c r="BO6" i="8"/>
  <c r="BO29" i="3"/>
  <c r="BC43" i="8"/>
  <c r="BO30" i="3"/>
  <c r="BP27" i="3"/>
  <c r="BO28" i="3"/>
  <c r="BO13" i="3"/>
  <c r="BN20" i="3" s="1"/>
  <c r="BO22" i="8" s="1"/>
  <c r="BK19" i="8"/>
  <c r="BK20" i="8" s="1"/>
  <c r="BM20" i="3"/>
  <c r="BA30" i="8"/>
  <c r="BA46" i="8"/>
  <c r="BM42" i="8"/>
  <c r="BF32" i="7"/>
  <c r="BF35" i="7" s="1"/>
  <c r="BM38" i="7"/>
  <c r="BM40" i="7" s="1"/>
  <c r="BM25" i="3"/>
  <c r="BN23" i="8" s="1"/>
  <c r="BU3" i="3"/>
  <c r="BT41" i="3"/>
  <c r="I15" i="9"/>
  <c r="BL19" i="3"/>
  <c r="AQ20" i="6"/>
  <c r="AR31" i="8" s="1"/>
  <c r="BG21" i="12" l="1"/>
  <c r="BH19" i="12"/>
  <c r="BH21" i="12" s="1"/>
  <c r="BF24" i="12"/>
  <c r="BF23" i="12"/>
  <c r="BP13" i="3"/>
  <c r="BP24" i="3" s="1"/>
  <c r="BP39" i="7" s="1"/>
  <c r="G31" i="13"/>
  <c r="BQ5" i="8"/>
  <c r="BP17" i="3"/>
  <c r="BG32" i="7"/>
  <c r="BG35" i="7" s="1"/>
  <c r="BO42" i="8"/>
  <c r="BP6" i="8"/>
  <c r="BP29" i="3"/>
  <c r="BT42" i="3"/>
  <c r="BT43" i="3" s="1"/>
  <c r="BN39" i="7"/>
  <c r="BN22" i="8"/>
  <c r="BS5" i="3"/>
  <c r="BR7" i="3"/>
  <c r="BN38" i="7"/>
  <c r="BN25" i="3"/>
  <c r="BO23" i="8" s="1"/>
  <c r="BV3" i="3"/>
  <c r="BU41" i="3"/>
  <c r="BP5" i="8"/>
  <c r="BO24" i="3"/>
  <c r="BO39" i="7" s="1"/>
  <c r="BO23" i="3"/>
  <c r="BO18" i="3"/>
  <c r="BO16" i="3"/>
  <c r="BO14" i="3"/>
  <c r="BO17" i="3"/>
  <c r="AH48" i="8"/>
  <c r="AI38" i="8"/>
  <c r="AI39" i="8" s="1"/>
  <c r="BQ8" i="3"/>
  <c r="BQ11" i="3" s="1"/>
  <c r="BQ10" i="3"/>
  <c r="BN19" i="8"/>
  <c r="BO45" i="8"/>
  <c r="BO14" i="8"/>
  <c r="H22" i="13"/>
  <c r="BF30" i="8"/>
  <c r="BF46" i="8"/>
  <c r="BG35" i="8" s="1"/>
  <c r="AR33" i="8"/>
  <c r="AR38" i="8" s="1"/>
  <c r="BC44" i="8"/>
  <c r="BG27" i="8"/>
  <c r="BF45" i="7"/>
  <c r="BF47" i="7" s="1"/>
  <c r="BG43" i="8" s="1"/>
  <c r="BG44" i="8" s="1"/>
  <c r="BB35" i="8"/>
  <c r="BM19" i="3"/>
  <c r="BN19" i="3" s="1"/>
  <c r="BP30" i="3"/>
  <c r="BQ27" i="3"/>
  <c r="BP28" i="3"/>
  <c r="BS44" i="3"/>
  <c r="BS45" i="3" s="1"/>
  <c r="BH23" i="12" l="1"/>
  <c r="BH24" i="12"/>
  <c r="BI21" i="12"/>
  <c r="BG23" i="12"/>
  <c r="BG24" i="12"/>
  <c r="BK19" i="12"/>
  <c r="BJ21" i="12"/>
  <c r="BT44" i="3"/>
  <c r="BT45" i="3" s="1"/>
  <c r="BP16" i="3"/>
  <c r="BO20" i="3"/>
  <c r="BP22" i="8" s="1"/>
  <c r="BP42" i="8" s="1"/>
  <c r="BP18" i="3"/>
  <c r="BP14" i="3"/>
  <c r="BN40" i="7"/>
  <c r="BP23" i="3"/>
  <c r="BP38" i="7" s="1"/>
  <c r="BP40" i="7" s="1"/>
  <c r="AR48" i="8"/>
  <c r="AR49" i="8" s="1"/>
  <c r="BC30" i="8"/>
  <c r="BC46" i="8"/>
  <c r="BO19" i="8"/>
  <c r="AR17" i="6"/>
  <c r="AS14" i="6" s="1"/>
  <c r="BG30" i="8"/>
  <c r="BG46" i="8"/>
  <c r="BH35" i="8" s="1"/>
  <c r="BP45" i="8"/>
  <c r="BP14" i="8"/>
  <c r="BP19" i="8" s="1"/>
  <c r="BQ13" i="3"/>
  <c r="BW3" i="3"/>
  <c r="BZ3" i="3" s="1"/>
  <c r="BV41" i="3"/>
  <c r="BQ45" i="8"/>
  <c r="BQ14" i="8"/>
  <c r="BQ19" i="8" s="1"/>
  <c r="BR10" i="3"/>
  <c r="BR8" i="3"/>
  <c r="BR11" i="3" s="1"/>
  <c r="BT5" i="3"/>
  <c r="BS7" i="3"/>
  <c r="BU42" i="3"/>
  <c r="BU43" i="3" s="1"/>
  <c r="BQ6" i="8"/>
  <c r="BQ29" i="3"/>
  <c r="AI52" i="8"/>
  <c r="AH49" i="8"/>
  <c r="BO38" i="7"/>
  <c r="BO25" i="3"/>
  <c r="BP23" i="8" s="1"/>
  <c r="BH32" i="7"/>
  <c r="BH35" i="7" s="1"/>
  <c r="BQ30" i="3"/>
  <c r="BR27" i="3"/>
  <c r="BQ28" i="3"/>
  <c r="BN42" i="8"/>
  <c r="BH27" i="8"/>
  <c r="BG45" i="7"/>
  <c r="BG47" i="7" s="1"/>
  <c r="BO19" i="3" l="1"/>
  <c r="BL19" i="12"/>
  <c r="BK21" i="12"/>
  <c r="BJ24" i="12"/>
  <c r="BJ23" i="12"/>
  <c r="BI23" i="12"/>
  <c r="BI24" i="12"/>
  <c r="BP25" i="3"/>
  <c r="BQ23" i="8" s="1"/>
  <c r="BZ28" i="3"/>
  <c r="CA3" i="3"/>
  <c r="BZ41" i="3"/>
  <c r="BU44" i="3"/>
  <c r="BU45" i="3" s="1"/>
  <c r="BD35" i="8"/>
  <c r="AR20" i="6"/>
  <c r="AS31" i="8" s="1"/>
  <c r="BH43" i="8"/>
  <c r="BR30" i="3"/>
  <c r="BS27" i="3"/>
  <c r="BR28" i="3"/>
  <c r="BV42" i="3"/>
  <c r="BV43" i="3" s="1"/>
  <c r="BR6" i="8"/>
  <c r="BR29" i="3"/>
  <c r="BO40" i="7"/>
  <c r="AI49" i="8"/>
  <c r="G57" i="9"/>
  <c r="BR13" i="3"/>
  <c r="BI27" i="8"/>
  <c r="BH45" i="7"/>
  <c r="BH47" i="7" s="1"/>
  <c r="BI43" i="8" s="1"/>
  <c r="BI44" i="8" s="1"/>
  <c r="BU5" i="3"/>
  <c r="BT7" i="3"/>
  <c r="BR5" i="8"/>
  <c r="BQ24" i="3"/>
  <c r="BQ23" i="3"/>
  <c r="BQ18" i="3"/>
  <c r="BQ16" i="3"/>
  <c r="BQ14" i="3"/>
  <c r="BQ17" i="3"/>
  <c r="BP20" i="3"/>
  <c r="BS8" i="3"/>
  <c r="BS11" i="3" s="1"/>
  <c r="BS10" i="3"/>
  <c r="H7" i="10"/>
  <c r="BW41" i="3"/>
  <c r="BX3" i="3"/>
  <c r="BX41" i="3" s="1"/>
  <c r="BI32" i="7"/>
  <c r="BJ4" i="7"/>
  <c r="BS13" i="3" l="1"/>
  <c r="AX5" i="7"/>
  <c r="BL5" i="7"/>
  <c r="BM24" i="8" s="1"/>
  <c r="AX6" i="7"/>
  <c r="BL6" i="7"/>
  <c r="BM25" i="8" s="1"/>
  <c r="BL21" i="12"/>
  <c r="BM19" i="12"/>
  <c r="BK23" i="12"/>
  <c r="BK24" i="12"/>
  <c r="BZ42" i="3"/>
  <c r="BZ43" i="3" s="1"/>
  <c r="CA41" i="3"/>
  <c r="CA28" i="3"/>
  <c r="CB3" i="3"/>
  <c r="AS33" i="8"/>
  <c r="AS38" i="8" s="1"/>
  <c r="BS30" i="3"/>
  <c r="BT27" i="3"/>
  <c r="BS28" i="3"/>
  <c r="BS5" i="8"/>
  <c r="BR16" i="3"/>
  <c r="BR14" i="3"/>
  <c r="BR17" i="3"/>
  <c r="BR20" i="3"/>
  <c r="BS22" i="8" s="1"/>
  <c r="BR24" i="3"/>
  <c r="BR39" i="7" s="1"/>
  <c r="BR23" i="3"/>
  <c r="BR18" i="3"/>
  <c r="BS6" i="8"/>
  <c r="BS29" i="3"/>
  <c r="BQ39" i="7"/>
  <c r="BX42" i="3"/>
  <c r="BX43" i="3" s="1"/>
  <c r="BT8" i="3"/>
  <c r="BT11" i="3" s="1"/>
  <c r="BT10" i="3"/>
  <c r="BR45" i="8"/>
  <c r="BR14" i="8"/>
  <c r="BR19" i="8" s="1"/>
  <c r="BV5" i="3"/>
  <c r="BU7" i="3"/>
  <c r="BI35" i="7"/>
  <c r="BJ32" i="7"/>
  <c r="BH44" i="8"/>
  <c r="BQ22" i="8"/>
  <c r="BP19" i="3"/>
  <c r="BW42" i="3"/>
  <c r="BW43" i="3" s="1"/>
  <c r="BT5" i="8"/>
  <c r="BS14" i="3"/>
  <c r="BS16" i="3"/>
  <c r="BS17" i="3"/>
  <c r="BS18" i="3"/>
  <c r="BS23" i="3"/>
  <c r="BS24" i="3"/>
  <c r="BS39" i="7" s="1"/>
  <c r="BQ20" i="3"/>
  <c r="BR22" i="8" s="1"/>
  <c r="BV44" i="3"/>
  <c r="BV45" i="3" s="1"/>
  <c r="BL32" i="7"/>
  <c r="BI30" i="8"/>
  <c r="BI46" i="8"/>
  <c r="BJ35" i="8" s="1"/>
  <c r="BQ38" i="7"/>
  <c r="BQ25" i="3"/>
  <c r="BZ44" i="3" l="1"/>
  <c r="AY5" i="7"/>
  <c r="AZ24" i="8" s="1"/>
  <c r="BM5" i="7"/>
  <c r="BN24" i="8" s="1"/>
  <c r="BL7" i="7"/>
  <c r="AY6" i="7"/>
  <c r="BM6" i="7"/>
  <c r="BN25" i="8" s="1"/>
  <c r="AX7" i="7"/>
  <c r="AZ25" i="8"/>
  <c r="AY24" i="8"/>
  <c r="BN19" i="12"/>
  <c r="BM21" i="12"/>
  <c r="BL24" i="12"/>
  <c r="BL23" i="12"/>
  <c r="CC3" i="3"/>
  <c r="CB41" i="3"/>
  <c r="CB28" i="3"/>
  <c r="BW44" i="3"/>
  <c r="BW45" i="3" s="1"/>
  <c r="CA42" i="3"/>
  <c r="CA43" i="3" s="1"/>
  <c r="BZ45" i="3"/>
  <c r="BT13" i="3"/>
  <c r="BR42" i="8"/>
  <c r="BT45" i="8"/>
  <c r="BT14" i="8"/>
  <c r="BH30" i="8"/>
  <c r="BH46" i="8"/>
  <c r="BW5" i="3"/>
  <c r="BV7" i="3"/>
  <c r="BS38" i="7"/>
  <c r="BS40" i="7" s="1"/>
  <c r="BS25" i="3"/>
  <c r="BT23" i="8" s="1"/>
  <c r="BX44" i="3"/>
  <c r="BR38" i="7"/>
  <c r="BR40" i="7" s="1"/>
  <c r="BR25" i="3"/>
  <c r="BS23" i="8" s="1"/>
  <c r="BU27" i="3"/>
  <c r="BT30" i="3"/>
  <c r="BT28" i="3"/>
  <c r="BQ40" i="7"/>
  <c r="BT6" i="8"/>
  <c r="BT29" i="3"/>
  <c r="BS42" i="8"/>
  <c r="BU8" i="3"/>
  <c r="BU11" i="3" s="1"/>
  <c r="BU10" i="3"/>
  <c r="BM32" i="7"/>
  <c r="BM35" i="7" s="1"/>
  <c r="BL35" i="7"/>
  <c r="BJ27" i="8"/>
  <c r="BI45" i="7"/>
  <c r="BJ35" i="7"/>
  <c r="AS17" i="6"/>
  <c r="AT14" i="6" s="1"/>
  <c r="BQ19" i="3"/>
  <c r="BR19" i="3" s="1"/>
  <c r="BR23" i="8"/>
  <c r="BQ42" i="8"/>
  <c r="BS45" i="8"/>
  <c r="BS14" i="8"/>
  <c r="BS19" i="8" s="1"/>
  <c r="AS48" i="8"/>
  <c r="AS49" i="8" s="1"/>
  <c r="AY7" i="7" l="1"/>
  <c r="AY42" i="7" s="1"/>
  <c r="BA25" i="8"/>
  <c r="AZ5" i="7"/>
  <c r="BN5" i="7"/>
  <c r="BO24" i="8" s="1"/>
  <c r="AX42" i="7"/>
  <c r="AZ6" i="7"/>
  <c r="BN6" i="7"/>
  <c r="BO25" i="8" s="1"/>
  <c r="BM7" i="7"/>
  <c r="BM24" i="12"/>
  <c r="BM23" i="12"/>
  <c r="BN21" i="12"/>
  <c r="BO19" i="12"/>
  <c r="CB42" i="3"/>
  <c r="CB43" i="3" s="1"/>
  <c r="BW7" i="3"/>
  <c r="BX7" i="3" s="1"/>
  <c r="BZ5" i="3"/>
  <c r="CA44" i="3"/>
  <c r="CA45" i="3" s="1"/>
  <c r="CC41" i="3"/>
  <c r="CC28" i="3"/>
  <c r="CD3" i="3"/>
  <c r="BU13" i="3"/>
  <c r="BU16" i="3" s="1"/>
  <c r="BT19" i="8"/>
  <c r="BU6" i="8"/>
  <c r="BU29" i="3"/>
  <c r="G39" i="10"/>
  <c r="G44" i="10" s="1"/>
  <c r="BJ36" i="7"/>
  <c r="BN32" i="7"/>
  <c r="BV27" i="3"/>
  <c r="BU30" i="3"/>
  <c r="BU28" i="3"/>
  <c r="BV10" i="3"/>
  <c r="BV8" i="3"/>
  <c r="BV11" i="3" s="1"/>
  <c r="BN27" i="8"/>
  <c r="BM45" i="7"/>
  <c r="BM47" i="7" s="1"/>
  <c r="BN43" i="8" s="1"/>
  <c r="BN44" i="8" s="1"/>
  <c r="BI47" i="7"/>
  <c r="BJ45" i="7"/>
  <c r="BU5" i="8"/>
  <c r="BT17" i="3"/>
  <c r="BT16" i="3"/>
  <c r="BT24" i="3"/>
  <c r="BT14" i="3"/>
  <c r="BT18" i="3"/>
  <c r="BT20" i="3"/>
  <c r="BU22" i="8" s="1"/>
  <c r="BT23" i="3"/>
  <c r="BS20" i="3"/>
  <c r="BT22" i="8" s="1"/>
  <c r="BK27" i="8"/>
  <c r="BI35" i="8"/>
  <c r="BK35" i="8" s="1"/>
  <c r="AS20" i="6"/>
  <c r="AT31" i="8" s="1"/>
  <c r="BU17" i="3"/>
  <c r="BU24" i="3"/>
  <c r="BU39" i="7" s="1"/>
  <c r="BU23" i="3"/>
  <c r="BU18" i="3"/>
  <c r="BU14" i="3"/>
  <c r="BM27" i="8"/>
  <c r="BL45" i="7"/>
  <c r="BL42" i="7"/>
  <c r="CB44" i="3" l="1"/>
  <c r="CB45" i="3" s="1"/>
  <c r="CB7" i="3" s="1"/>
  <c r="BV5" i="8"/>
  <c r="BW8" i="3"/>
  <c r="BW10" i="3"/>
  <c r="BA5" i="7"/>
  <c r="BO5" i="7"/>
  <c r="BP24" i="8" s="1"/>
  <c r="AZ7" i="7"/>
  <c r="BB25" i="8"/>
  <c r="BO6" i="7"/>
  <c r="BP25" i="8" s="1"/>
  <c r="BA6" i="7"/>
  <c r="BC25" i="8" s="1"/>
  <c r="BN7" i="7"/>
  <c r="BA24" i="8"/>
  <c r="BM42" i="7"/>
  <c r="BP19" i="12"/>
  <c r="BO21" i="12"/>
  <c r="BN24" i="12"/>
  <c r="BN23" i="12"/>
  <c r="CC42" i="3"/>
  <c r="CC43" i="3" s="1"/>
  <c r="CA5" i="3"/>
  <c r="CB5" i="3" s="1"/>
  <c r="CC5" i="3" s="1"/>
  <c r="CD5" i="3" s="1"/>
  <c r="CE5" i="3" s="1"/>
  <c r="CF5" i="3" s="1"/>
  <c r="CG5" i="3" s="1"/>
  <c r="CH5" i="3" s="1"/>
  <c r="CI5" i="3" s="1"/>
  <c r="CJ5" i="3" s="1"/>
  <c r="CK5" i="3" s="1"/>
  <c r="CN5" i="3" s="1"/>
  <c r="CO5" i="3" s="1"/>
  <c r="CP5" i="3" s="1"/>
  <c r="CQ5" i="3" s="1"/>
  <c r="CR5" i="3" s="1"/>
  <c r="CS5" i="3" s="1"/>
  <c r="CT5" i="3" s="1"/>
  <c r="CU5" i="3" s="1"/>
  <c r="CV5" i="3" s="1"/>
  <c r="BZ7" i="3"/>
  <c r="CD28" i="3"/>
  <c r="CE3" i="3"/>
  <c r="CD41" i="3"/>
  <c r="BV13" i="3"/>
  <c r="BV17" i="3" s="1"/>
  <c r="BT42" i="8"/>
  <c r="BV6" i="8"/>
  <c r="BV29" i="3"/>
  <c r="BN30" i="8"/>
  <c r="BN46" i="8"/>
  <c r="BO35" i="8" s="1"/>
  <c r="BV30" i="3"/>
  <c r="BW27" i="3"/>
  <c r="BW30" i="3" s="1"/>
  <c r="BV28" i="3"/>
  <c r="BV45" i="8"/>
  <c r="BV14" i="8"/>
  <c r="BT38" i="7"/>
  <c r="BT25" i="3"/>
  <c r="BU23" i="8" s="1"/>
  <c r="BO32" i="7"/>
  <c r="BO35" i="7" s="1"/>
  <c r="BU42" i="8"/>
  <c r="BJ43" i="8"/>
  <c r="BJ47" i="7"/>
  <c r="BN35" i="7"/>
  <c r="AT33" i="8"/>
  <c r="AT38" i="8" s="1"/>
  <c r="AT48" i="8" s="1"/>
  <c r="AT49" i="8" s="1"/>
  <c r="BU45" i="8"/>
  <c r="BU14" i="8"/>
  <c r="BU19" i="8" s="1"/>
  <c r="BX8" i="3"/>
  <c r="BW11" i="3"/>
  <c r="BX11" i="3" s="1"/>
  <c r="BL47" i="7"/>
  <c r="BT39" i="7"/>
  <c r="BX10" i="3"/>
  <c r="BU38" i="7"/>
  <c r="BU40" i="7" s="1"/>
  <c r="BU25" i="3"/>
  <c r="BV23" i="8" s="1"/>
  <c r="BV19" i="8"/>
  <c r="BS19" i="3"/>
  <c r="BW13" i="3" l="1"/>
  <c r="CC44" i="3"/>
  <c r="CC45" i="3" s="1"/>
  <c r="BA7" i="7"/>
  <c r="BA42" i="7" s="1"/>
  <c r="BB24" i="8"/>
  <c r="AZ42" i="7"/>
  <c r="BB5" i="7"/>
  <c r="BP5" i="7"/>
  <c r="BO7" i="7"/>
  <c r="BP6" i="7"/>
  <c r="BQ25" i="8" s="1"/>
  <c r="BB6" i="7"/>
  <c r="BO23" i="12"/>
  <c r="BO24" i="12"/>
  <c r="BP21" i="12"/>
  <c r="BQ19" i="12"/>
  <c r="BZ8" i="3"/>
  <c r="BZ11" i="3" s="1"/>
  <c r="BZ10" i="3"/>
  <c r="CB10" i="3"/>
  <c r="CB8" i="3"/>
  <c r="CB11" i="3" s="1"/>
  <c r="CD42" i="3"/>
  <c r="CD43" i="3" s="1"/>
  <c r="CW5" i="3"/>
  <c r="CX5" i="3" s="1"/>
  <c r="CY5" i="3" s="1"/>
  <c r="BU20" i="3"/>
  <c r="BV22" i="8" s="1"/>
  <c r="BV42" i="8" s="1"/>
  <c r="BV16" i="3"/>
  <c r="CC7" i="3"/>
  <c r="BW5" i="8"/>
  <c r="CE41" i="3"/>
  <c r="CF3" i="3"/>
  <c r="CE28" i="3"/>
  <c r="CA7" i="3"/>
  <c r="BV20" i="3"/>
  <c r="BW22" i="8" s="1"/>
  <c r="BW42" i="8" s="1"/>
  <c r="BV24" i="3"/>
  <c r="BV39" i="7" s="1"/>
  <c r="BV18" i="3"/>
  <c r="BV23" i="3"/>
  <c r="BV25" i="3" s="1"/>
  <c r="BW23" i="8" s="1"/>
  <c r="BV14" i="3"/>
  <c r="BW45" i="8" s="1"/>
  <c r="BW6" i="8"/>
  <c r="BW29" i="3"/>
  <c r="BZ29" i="3" s="1"/>
  <c r="CA29" i="3" s="1"/>
  <c r="CB29" i="3" s="1"/>
  <c r="CC29" i="3" s="1"/>
  <c r="CD29" i="3" s="1"/>
  <c r="CE29" i="3" s="1"/>
  <c r="CF29" i="3" s="1"/>
  <c r="CG29" i="3" s="1"/>
  <c r="CH29" i="3" s="1"/>
  <c r="CI29" i="3" s="1"/>
  <c r="CJ29" i="3" s="1"/>
  <c r="CK29" i="3" s="1"/>
  <c r="BT19" i="3"/>
  <c r="AT17" i="6"/>
  <c r="AU14" i="6" s="1"/>
  <c r="BT40" i="7"/>
  <c r="BJ44" i="8"/>
  <c r="BK43" i="8"/>
  <c r="BM43" i="8"/>
  <c r="BP32" i="7"/>
  <c r="BO27" i="8"/>
  <c r="BN45" i="7"/>
  <c r="BN42" i="7"/>
  <c r="BP27" i="8"/>
  <c r="BO45" i="7"/>
  <c r="BO47" i="7" s="1"/>
  <c r="BP43" i="8" s="1"/>
  <c r="BP44" i="8" s="1"/>
  <c r="BX27" i="3"/>
  <c r="BW28" i="3"/>
  <c r="BX28" i="3" s="1"/>
  <c r="BU19" i="3" l="1"/>
  <c r="BV38" i="7"/>
  <c r="BV40" i="7" s="1"/>
  <c r="CD44" i="3"/>
  <c r="BP7" i="7"/>
  <c r="BQ24" i="8"/>
  <c r="BC5" i="7"/>
  <c r="BQ5" i="7"/>
  <c r="BR24" i="8" s="1"/>
  <c r="BB7" i="7"/>
  <c r="BB42" i="7" s="1"/>
  <c r="BD25" i="8"/>
  <c r="BO42" i="7"/>
  <c r="BC24" i="8"/>
  <c r="BC6" i="7"/>
  <c r="BE25" i="8" s="1"/>
  <c r="BQ6" i="7"/>
  <c r="BR25" i="8" s="1"/>
  <c r="BR19" i="12"/>
  <c r="BQ21" i="12"/>
  <c r="BP24" i="12"/>
  <c r="BP23" i="12"/>
  <c r="CC10" i="3"/>
  <c r="CC8" i="3"/>
  <c r="CC11" i="3" s="1"/>
  <c r="CA10" i="3"/>
  <c r="CA8" i="3"/>
  <c r="CA11" i="3" s="1"/>
  <c r="CE42" i="3"/>
  <c r="CE43" i="3" s="1"/>
  <c r="CE44" i="3"/>
  <c r="CE45" i="3" s="1"/>
  <c r="CE7" i="3" s="1"/>
  <c r="BZ13" i="3"/>
  <c r="CG3" i="3"/>
  <c r="CF41" i="3"/>
  <c r="CF28" i="3"/>
  <c r="CD45" i="3"/>
  <c r="CD7" i="3" s="1"/>
  <c r="CB13" i="3"/>
  <c r="CL29" i="3"/>
  <c r="K28" i="9" s="1"/>
  <c r="K47" i="13" s="1"/>
  <c r="CN29" i="3"/>
  <c r="CO29" i="3" s="1"/>
  <c r="CP29" i="3" s="1"/>
  <c r="CQ29" i="3" s="1"/>
  <c r="CR29" i="3" s="1"/>
  <c r="CS29" i="3" s="1"/>
  <c r="CT29" i="3" s="1"/>
  <c r="CU29" i="3" s="1"/>
  <c r="CV29" i="3" s="1"/>
  <c r="CW29" i="3" s="1"/>
  <c r="CX29" i="3" s="1"/>
  <c r="CY29" i="3" s="1"/>
  <c r="CZ29" i="3" s="1"/>
  <c r="BW14" i="8"/>
  <c r="BW24" i="3"/>
  <c r="BW39" i="7" s="1"/>
  <c r="BX5" i="8"/>
  <c r="BY5" i="8" s="1"/>
  <c r="BW18" i="3"/>
  <c r="BX18" i="3" s="1"/>
  <c r="H16" i="10" s="1"/>
  <c r="H19" i="10" s="1"/>
  <c r="BX13" i="3"/>
  <c r="H9" i="10" s="1"/>
  <c r="H13" i="10" s="1"/>
  <c r="BW17" i="3"/>
  <c r="BX17" i="3" s="1"/>
  <c r="BW20" i="3"/>
  <c r="BX22" i="8" s="1"/>
  <c r="BV19" i="3"/>
  <c r="BW16" i="3"/>
  <c r="BX16" i="3" s="1"/>
  <c r="BW14" i="3"/>
  <c r="BX14" i="8" s="1"/>
  <c r="BY14" i="8" s="1"/>
  <c r="BW23" i="3"/>
  <c r="BW38" i="7" s="1"/>
  <c r="BW19" i="8"/>
  <c r="AT20" i="6"/>
  <c r="AU31" i="8" s="1"/>
  <c r="BN47" i="7"/>
  <c r="BP30" i="8"/>
  <c r="BP46" i="8"/>
  <c r="BQ35" i="8" s="1"/>
  <c r="BJ30" i="8"/>
  <c r="BJ46" i="8"/>
  <c r="BK44" i="8"/>
  <c r="BP35" i="7"/>
  <c r="BQ32" i="7"/>
  <c r="BQ35" i="7" s="1"/>
  <c r="BX6" i="8"/>
  <c r="BY6" i="8" s="1"/>
  <c r="BX30" i="3"/>
  <c r="BM44" i="8"/>
  <c r="J28" i="9"/>
  <c r="BX29" i="3"/>
  <c r="BR5" i="7" l="1"/>
  <c r="BD5" i="7"/>
  <c r="BQ7" i="7"/>
  <c r="BC7" i="7"/>
  <c r="BD24" i="8"/>
  <c r="BD6" i="7"/>
  <c r="BF25" i="8" s="1"/>
  <c r="BR6" i="7"/>
  <c r="BS25" i="8" s="1"/>
  <c r="BQ23" i="12"/>
  <c r="BQ24" i="12"/>
  <c r="BS19" i="12"/>
  <c r="BR21" i="12"/>
  <c r="BZ24" i="3"/>
  <c r="BZ23" i="3"/>
  <c r="BZ17" i="3"/>
  <c r="BZ18" i="3"/>
  <c r="BZ14" i="3"/>
  <c r="BZ16" i="3"/>
  <c r="CD10" i="3"/>
  <c r="CD8" i="3"/>
  <c r="CD11" i="3" s="1"/>
  <c r="BX39" i="7"/>
  <c r="BZ39" i="7"/>
  <c r="CA13" i="3"/>
  <c r="BW19" i="3"/>
  <c r="J15" i="9" s="1"/>
  <c r="CE10" i="3"/>
  <c r="CE8" i="3"/>
  <c r="CE11" i="3" s="1"/>
  <c r="CB16" i="3"/>
  <c r="CB17" i="3"/>
  <c r="CB23" i="3"/>
  <c r="CB14" i="3"/>
  <c r="CB18" i="3"/>
  <c r="CB24" i="3"/>
  <c r="CB39" i="7" s="1"/>
  <c r="CZ31" i="3"/>
  <c r="L28" i="9"/>
  <c r="N47" i="13" s="1"/>
  <c r="CF42" i="3"/>
  <c r="CF43" i="3" s="1"/>
  <c r="CF44" i="3"/>
  <c r="CG28" i="3"/>
  <c r="CH3" i="3"/>
  <c r="CG41" i="3"/>
  <c r="CC13" i="3"/>
  <c r="CB20" i="3" s="1"/>
  <c r="BX24" i="3"/>
  <c r="CL31" i="3"/>
  <c r="BX45" i="8"/>
  <c r="BY45" i="8" s="1"/>
  <c r="BX23" i="3"/>
  <c r="BW25" i="3"/>
  <c r="BX23" i="8" s="1"/>
  <c r="BY23" i="8" s="1"/>
  <c r="BX14" i="3"/>
  <c r="BX20" i="3"/>
  <c r="BK30" i="8"/>
  <c r="BQ27" i="8"/>
  <c r="BP45" i="7"/>
  <c r="BP42" i="7"/>
  <c r="BX42" i="8"/>
  <c r="BY22" i="8"/>
  <c r="BW40" i="7"/>
  <c r="BX40" i="7" s="1"/>
  <c r="BX38" i="7"/>
  <c r="BO43" i="8"/>
  <c r="BR32" i="7"/>
  <c r="BR35" i="7" s="1"/>
  <c r="BX31" i="3"/>
  <c r="BR27" i="8"/>
  <c r="BQ45" i="7"/>
  <c r="BQ47" i="7" s="1"/>
  <c r="BR43" i="8" s="1"/>
  <c r="BR44" i="8" s="1"/>
  <c r="BM30" i="8"/>
  <c r="BM46" i="8"/>
  <c r="BX19" i="8"/>
  <c r="AU33" i="8"/>
  <c r="AU38" i="8" s="1"/>
  <c r="AU48" i="8" s="1"/>
  <c r="AU49" i="8" s="1"/>
  <c r="J47" i="13"/>
  <c r="I47" i="13"/>
  <c r="BM35" i="8"/>
  <c r="BK46" i="8"/>
  <c r="BR7" i="7" l="1"/>
  <c r="BS24" i="8"/>
  <c r="BE6" i="7"/>
  <c r="BG25" i="8" s="1"/>
  <c r="BS6" i="7"/>
  <c r="BT25" i="8" s="1"/>
  <c r="BS5" i="7"/>
  <c r="BT24" i="8" s="1"/>
  <c r="BE5" i="7"/>
  <c r="BD7" i="7"/>
  <c r="BD42" i="7" s="1"/>
  <c r="BE24" i="8"/>
  <c r="BC42" i="7"/>
  <c r="BQ42" i="7"/>
  <c r="BT19" i="12"/>
  <c r="BS21" i="12"/>
  <c r="BR23" i="12"/>
  <c r="BR24" i="12"/>
  <c r="CE13" i="3"/>
  <c r="CG42" i="3"/>
  <c r="CG43" i="3" s="1"/>
  <c r="CA23" i="3"/>
  <c r="CA24" i="3"/>
  <c r="CA39" i="7" s="1"/>
  <c r="CA16" i="3"/>
  <c r="CA17" i="3"/>
  <c r="CA20" i="3"/>
  <c r="CA14" i="3"/>
  <c r="CA18" i="3"/>
  <c r="CF45" i="3"/>
  <c r="CF7" i="3" s="1"/>
  <c r="BZ38" i="7"/>
  <c r="BZ25" i="3"/>
  <c r="CC24" i="3"/>
  <c r="CC39" i="7" s="1"/>
  <c r="CC23" i="3"/>
  <c r="CC16" i="3"/>
  <c r="CC17" i="3"/>
  <c r="CC14" i="3"/>
  <c r="CC18" i="3"/>
  <c r="CH41" i="3"/>
  <c r="CH28" i="3"/>
  <c r="CI3" i="3"/>
  <c r="CB38" i="7"/>
  <c r="CB40" i="7" s="1"/>
  <c r="CB25" i="3"/>
  <c r="BZ20" i="3"/>
  <c r="BZ19" i="3" s="1"/>
  <c r="CD13" i="3"/>
  <c r="BX25" i="3"/>
  <c r="BS27" i="8"/>
  <c r="BR45" i="7"/>
  <c r="BR47" i="7" s="1"/>
  <c r="BS43" i="8" s="1"/>
  <c r="BS44" i="8" s="1"/>
  <c r="BR42" i="7"/>
  <c r="BN35" i="8"/>
  <c r="I47" i="9" s="1"/>
  <c r="BY42" i="8"/>
  <c r="BS32" i="7"/>
  <c r="BS35" i="7" s="1"/>
  <c r="I22" i="13"/>
  <c r="AV14" i="6"/>
  <c r="AU17" i="6"/>
  <c r="AX14" i="6" s="1"/>
  <c r="BR30" i="8"/>
  <c r="BR46" i="8"/>
  <c r="BS35" i="8" s="1"/>
  <c r="BO44" i="8"/>
  <c r="BP47" i="7"/>
  <c r="CA19" i="3" l="1"/>
  <c r="CB19" i="3" s="1"/>
  <c r="CG44" i="3"/>
  <c r="CG45" i="3" s="1"/>
  <c r="CG7" i="3" s="1"/>
  <c r="CG8" i="3" s="1"/>
  <c r="CG11" i="3" s="1"/>
  <c r="BT6" i="7"/>
  <c r="BU25" i="8" s="1"/>
  <c r="BF6" i="7"/>
  <c r="BH25" i="8" s="1"/>
  <c r="BE7" i="7"/>
  <c r="BF24" i="8"/>
  <c r="BF5" i="7"/>
  <c r="BT5" i="7"/>
  <c r="BS7" i="7"/>
  <c r="BS23" i="12"/>
  <c r="BS24" i="12"/>
  <c r="BT21" i="12"/>
  <c r="BU19" i="12"/>
  <c r="BU21" i="12" s="1"/>
  <c r="CD23" i="3"/>
  <c r="CD16" i="3"/>
  <c r="CD14" i="3"/>
  <c r="CD24" i="3"/>
  <c r="CD39" i="7" s="1"/>
  <c r="CD17" i="3"/>
  <c r="CD20" i="3"/>
  <c r="CD18" i="3"/>
  <c r="CC20" i="3"/>
  <c r="BZ40" i="7"/>
  <c r="CF8" i="3"/>
  <c r="CF11" i="3" s="1"/>
  <c r="CF10" i="3"/>
  <c r="CI41" i="3"/>
  <c r="CJ3" i="3"/>
  <c r="CI28" i="3"/>
  <c r="CH42" i="3"/>
  <c r="CH43" i="3" s="1"/>
  <c r="CH44" i="3"/>
  <c r="CH45" i="3" s="1"/>
  <c r="CH7" i="3" s="1"/>
  <c r="CA38" i="7"/>
  <c r="CA25" i="3"/>
  <c r="CC38" i="7"/>
  <c r="CC40" i="7" s="1"/>
  <c r="CC25" i="3"/>
  <c r="CE24" i="3"/>
  <c r="CE39" i="7" s="1"/>
  <c r="CE17" i="3"/>
  <c r="CE23" i="3"/>
  <c r="CE16" i="3"/>
  <c r="CE18" i="3"/>
  <c r="CE14" i="3"/>
  <c r="BO30" i="8"/>
  <c r="BO46" i="8"/>
  <c r="BT32" i="7"/>
  <c r="BT35" i="7" s="1"/>
  <c r="AU20" i="6"/>
  <c r="AV17" i="6"/>
  <c r="BT27" i="8"/>
  <c r="BS45" i="7"/>
  <c r="BS47" i="7" s="1"/>
  <c r="BT43" i="8" s="1"/>
  <c r="BT44" i="8" s="1"/>
  <c r="BQ43" i="8"/>
  <c r="BS30" i="8"/>
  <c r="BS46" i="8"/>
  <c r="BT35" i="8" s="1"/>
  <c r="H31" i="13"/>
  <c r="CC19" i="3" l="1"/>
  <c r="CD19" i="3" s="1"/>
  <c r="CG10" i="3"/>
  <c r="CG13" i="3" s="1"/>
  <c r="BT7" i="7"/>
  <c r="BU24" i="8"/>
  <c r="BF7" i="7"/>
  <c r="BF42" i="7" s="1"/>
  <c r="BG24" i="8"/>
  <c r="BG6" i="7"/>
  <c r="BU6" i="7"/>
  <c r="BV25" i="8" s="1"/>
  <c r="BE42" i="7"/>
  <c r="BG5" i="7"/>
  <c r="BH24" i="8" s="1"/>
  <c r="BU5" i="7"/>
  <c r="BS42" i="7"/>
  <c r="BT23" i="12"/>
  <c r="BT24" i="12"/>
  <c r="BU23" i="12"/>
  <c r="BU24" i="12"/>
  <c r="BV21" i="12"/>
  <c r="BX19" i="12"/>
  <c r="CA40" i="7"/>
  <c r="CE25" i="3"/>
  <c r="CE38" i="7"/>
  <c r="CE40" i="7" s="1"/>
  <c r="CF13" i="3"/>
  <c r="CG17" i="3"/>
  <c r="CG24" i="3"/>
  <c r="CG39" i="7" s="1"/>
  <c r="CG23" i="3"/>
  <c r="CG18" i="3"/>
  <c r="CG14" i="3"/>
  <c r="CG16" i="3"/>
  <c r="CI42" i="3"/>
  <c r="CI43" i="3" s="1"/>
  <c r="CD25" i="3"/>
  <c r="CD38" i="7"/>
  <c r="CD40" i="7" s="1"/>
  <c r="CH8" i="3"/>
  <c r="CH11" i="3" s="1"/>
  <c r="CH10" i="3"/>
  <c r="CJ41" i="3"/>
  <c r="CK3" i="3"/>
  <c r="CJ28" i="3"/>
  <c r="BQ44" i="8"/>
  <c r="AV33" i="8"/>
  <c r="AV15" i="6"/>
  <c r="BU32" i="7"/>
  <c r="BU35" i="7" s="1"/>
  <c r="BU27" i="8"/>
  <c r="BT45" i="7"/>
  <c r="BT42" i="7"/>
  <c r="BT30" i="8"/>
  <c r="BT46" i="8"/>
  <c r="BU35" i="8" s="1"/>
  <c r="AV31" i="8"/>
  <c r="AW31" i="8" s="1"/>
  <c r="AV20" i="6"/>
  <c r="F49" i="10" s="1"/>
  <c r="F50" i="10" s="1"/>
  <c r="F51" i="10" s="1"/>
  <c r="BP35" i="8"/>
  <c r="CH13" i="3" l="1"/>
  <c r="CG20" i="3" s="1"/>
  <c r="BU7" i="7"/>
  <c r="BV24" i="8"/>
  <c r="BW5" i="7"/>
  <c r="BX24" i="8" s="1"/>
  <c r="BI5" i="7"/>
  <c r="BH5" i="7"/>
  <c r="BI24" i="8" s="1"/>
  <c r="BV5" i="7"/>
  <c r="BW6" i="7"/>
  <c r="BI6" i="7"/>
  <c r="BI7" i="7" s="1"/>
  <c r="BG7" i="7"/>
  <c r="BG42" i="7" s="1"/>
  <c r="BI25" i="8"/>
  <c r="BH6" i="7"/>
  <c r="BV6" i="7"/>
  <c r="BW25" i="8" s="1"/>
  <c r="BV24" i="12"/>
  <c r="BV23" i="12"/>
  <c r="BY19" i="12"/>
  <c r="BX21" i="12"/>
  <c r="BW24" i="12"/>
  <c r="BZ6" i="7" s="1"/>
  <c r="BW23" i="12"/>
  <c r="BZ5" i="7" s="1"/>
  <c r="CG38" i="7"/>
  <c r="CG40" i="7" s="1"/>
  <c r="CG25" i="3"/>
  <c r="CH18" i="3"/>
  <c r="CH14" i="3"/>
  <c r="CN3" i="3"/>
  <c r="CK41" i="3"/>
  <c r="CK28" i="3"/>
  <c r="CL28" i="3" s="1"/>
  <c r="CL3" i="3"/>
  <c r="CI44" i="3"/>
  <c r="CI45" i="3" s="1"/>
  <c r="CI7" i="3" s="1"/>
  <c r="CJ42" i="3"/>
  <c r="CJ43" i="3" s="1"/>
  <c r="CJ44" i="3"/>
  <c r="CF24" i="3"/>
  <c r="CF39" i="7" s="1"/>
  <c r="CF20" i="3"/>
  <c r="CF16" i="3"/>
  <c r="CF23" i="3"/>
  <c r="CF18" i="3"/>
  <c r="CF17" i="3"/>
  <c r="CF14" i="3"/>
  <c r="CE20" i="3"/>
  <c r="CE19" i="3" s="1"/>
  <c r="F55" i="10"/>
  <c r="G12" i="13" s="1"/>
  <c r="H32" i="9"/>
  <c r="BV32" i="7"/>
  <c r="BV35" i="7" s="1"/>
  <c r="H43" i="9"/>
  <c r="AX17" i="6"/>
  <c r="AY14" i="6" s="1"/>
  <c r="BV27" i="8"/>
  <c r="BU45" i="7"/>
  <c r="BU47" i="7" s="1"/>
  <c r="BV43" i="8" s="1"/>
  <c r="BV44" i="8" s="1"/>
  <c r="BU42" i="7"/>
  <c r="AW33" i="8"/>
  <c r="AV38" i="8"/>
  <c r="BT47" i="7"/>
  <c r="BQ30" i="8"/>
  <c r="BQ46" i="8"/>
  <c r="CH16" i="3" l="1"/>
  <c r="CH23" i="3"/>
  <c r="CH17" i="3"/>
  <c r="CH24" i="3"/>
  <c r="CH39" i="7" s="1"/>
  <c r="BX6" i="7"/>
  <c r="BX25" i="8"/>
  <c r="BV7" i="7"/>
  <c r="BW24" i="8"/>
  <c r="BY24" i="8" s="1"/>
  <c r="BZ7" i="7"/>
  <c r="BI42" i="7"/>
  <c r="BJ24" i="8"/>
  <c r="BK24" i="8" s="1"/>
  <c r="BJ5" i="7"/>
  <c r="BH7" i="7"/>
  <c r="BH42" i="7" s="1"/>
  <c r="BJ25" i="8"/>
  <c r="BK25" i="8" s="1"/>
  <c r="BW7" i="7"/>
  <c r="BX5" i="7"/>
  <c r="BX23" i="12"/>
  <c r="CA5" i="7" s="1"/>
  <c r="BX24" i="12"/>
  <c r="CA6" i="7" s="1"/>
  <c r="CZ4" i="7"/>
  <c r="CL4" i="7"/>
  <c r="BZ19" i="12"/>
  <c r="BY21" i="12"/>
  <c r="CI8" i="3"/>
  <c r="CI11" i="3" s="1"/>
  <c r="CI10" i="3"/>
  <c r="CI13" i="3" s="1"/>
  <c r="CF38" i="7"/>
  <c r="CF25" i="3"/>
  <c r="CF19" i="3"/>
  <c r="CG19" i="3" s="1"/>
  <c r="CK42" i="3"/>
  <c r="CK43" i="3" s="1"/>
  <c r="CK44" i="3"/>
  <c r="CK45" i="3" s="1"/>
  <c r="CK7" i="3" s="1"/>
  <c r="CH38" i="7"/>
  <c r="CH40" i="7" s="1"/>
  <c r="CH25" i="3"/>
  <c r="CL41" i="3"/>
  <c r="I7" i="10"/>
  <c r="CJ45" i="3"/>
  <c r="CJ7" i="3" s="1"/>
  <c r="CO3" i="3"/>
  <c r="CN41" i="3"/>
  <c r="CN28" i="3"/>
  <c r="AX20" i="6"/>
  <c r="H48" i="9"/>
  <c r="G46" i="13"/>
  <c r="G53" i="13" s="1"/>
  <c r="AV48" i="8"/>
  <c r="AV49" i="8" s="1"/>
  <c r="AW38" i="8"/>
  <c r="AW39" i="8" s="1"/>
  <c r="BR35" i="8"/>
  <c r="BV30" i="8"/>
  <c r="BV46" i="8"/>
  <c r="BW35" i="8" s="1"/>
  <c r="BX4" i="7"/>
  <c r="BW32" i="7"/>
  <c r="BW27" i="8"/>
  <c r="BV45" i="7"/>
  <c r="BV47" i="7" s="1"/>
  <c r="BW43" i="8" s="1"/>
  <c r="BW44" i="8" s="1"/>
  <c r="BV42" i="7"/>
  <c r="G19" i="13"/>
  <c r="BU43" i="8"/>
  <c r="CA7" i="7" l="1"/>
  <c r="BX7" i="7"/>
  <c r="BJ7" i="7"/>
  <c r="CF32" i="7"/>
  <c r="CF35" i="7" s="1"/>
  <c r="CE32" i="7"/>
  <c r="CE35" i="7" s="1"/>
  <c r="CD32" i="7"/>
  <c r="CD35" i="7" s="1"/>
  <c r="CK32" i="7"/>
  <c r="CC32" i="7"/>
  <c r="CC35" i="7" s="1"/>
  <c r="CA32" i="7"/>
  <c r="CA35" i="7" s="1"/>
  <c r="CH32" i="7"/>
  <c r="CH35" i="7" s="1"/>
  <c r="CH45" i="7" s="1"/>
  <c r="CH47" i="7" s="1"/>
  <c r="CJ32" i="7"/>
  <c r="CJ35" i="7" s="1"/>
  <c r="CB32" i="7"/>
  <c r="CB35" i="7" s="1"/>
  <c r="BZ32" i="7"/>
  <c r="CI32" i="7"/>
  <c r="CI35" i="7" s="1"/>
  <c r="CG32" i="7"/>
  <c r="CG35" i="7" s="1"/>
  <c r="BZ21" i="12"/>
  <c r="CA19" i="12"/>
  <c r="BY24" i="12"/>
  <c r="CB6" i="7" s="1"/>
  <c r="BY23" i="12"/>
  <c r="CB5" i="7" s="1"/>
  <c r="CB7" i="7" s="1"/>
  <c r="CP3" i="3"/>
  <c r="CO28" i="3"/>
  <c r="CO41" i="3"/>
  <c r="CL7" i="3"/>
  <c r="CK8" i="3"/>
  <c r="CK10" i="3"/>
  <c r="CN42" i="3"/>
  <c r="CN43" i="3" s="1"/>
  <c r="CJ10" i="3"/>
  <c r="CJ8" i="3"/>
  <c r="CJ11" i="3" s="1"/>
  <c r="CI18" i="3"/>
  <c r="CI14" i="3"/>
  <c r="CI16" i="3"/>
  <c r="CI17" i="3"/>
  <c r="CI23" i="3"/>
  <c r="CI24" i="3"/>
  <c r="CI39" i="7" s="1"/>
  <c r="CH20" i="3"/>
  <c r="CH19" i="3" s="1"/>
  <c r="CL42" i="3"/>
  <c r="CL43" i="3" s="1"/>
  <c r="CF40" i="7"/>
  <c r="G34" i="13"/>
  <c r="G56" i="13" s="1"/>
  <c r="BW30" i="8"/>
  <c r="BW46" i="8"/>
  <c r="AY31" i="8"/>
  <c r="AY33" i="8"/>
  <c r="BU44" i="8"/>
  <c r="BW35" i="7"/>
  <c r="BX32" i="7"/>
  <c r="H57" i="9"/>
  <c r="AW49" i="8"/>
  <c r="CL44" i="3" l="1"/>
  <c r="CN44" i="3"/>
  <c r="G20" i="10"/>
  <c r="G45" i="10" s="1"/>
  <c r="BX8" i="7"/>
  <c r="BJ42" i="7"/>
  <c r="H20" i="10"/>
  <c r="CL8" i="7"/>
  <c r="BJ8" i="7"/>
  <c r="CB19" i="12"/>
  <c r="CA21" i="12"/>
  <c r="BZ23" i="12"/>
  <c r="CC5" i="7" s="1"/>
  <c r="BZ24" i="12"/>
  <c r="CC6" i="7" s="1"/>
  <c r="CC45" i="7"/>
  <c r="CC47" i="7" s="1"/>
  <c r="CG45" i="7"/>
  <c r="CG47" i="7" s="1"/>
  <c r="CX32" i="7"/>
  <c r="CX35" i="7" s="1"/>
  <c r="CP32" i="7"/>
  <c r="CP35" i="7" s="1"/>
  <c r="CQ32" i="7"/>
  <c r="CQ35" i="7" s="1"/>
  <c r="CN32" i="7"/>
  <c r="CW32" i="7"/>
  <c r="CW35" i="7" s="1"/>
  <c r="CO32" i="7"/>
  <c r="CO35" i="7" s="1"/>
  <c r="CV32" i="7"/>
  <c r="CV35" i="7" s="1"/>
  <c r="CU32" i="7"/>
  <c r="CU35" i="7" s="1"/>
  <c r="CT32" i="7"/>
  <c r="CT35" i="7" s="1"/>
  <c r="CS32" i="7"/>
  <c r="CS35" i="7" s="1"/>
  <c r="CR32" i="7"/>
  <c r="CR35" i="7" s="1"/>
  <c r="CY32" i="7"/>
  <c r="CY35" i="7" s="1"/>
  <c r="CK35" i="7"/>
  <c r="CA42" i="7"/>
  <c r="CA45" i="7"/>
  <c r="CA47" i="7" s="1"/>
  <c r="CD45" i="7"/>
  <c r="CD47" i="7" s="1"/>
  <c r="CL32" i="7"/>
  <c r="BZ35" i="7"/>
  <c r="CE45" i="7"/>
  <c r="CE47" i="7" s="1"/>
  <c r="CB45" i="7"/>
  <c r="CB47" i="7" s="1"/>
  <c r="CB42" i="7"/>
  <c r="CF45" i="7"/>
  <c r="CK11" i="3"/>
  <c r="CL11" i="3" s="1"/>
  <c r="CL8" i="3"/>
  <c r="CI40" i="7"/>
  <c r="CL10" i="3"/>
  <c r="CO42" i="3"/>
  <c r="CO43" i="3" s="1"/>
  <c r="CO44" i="3"/>
  <c r="CJ13" i="3"/>
  <c r="CI38" i="7"/>
  <c r="CI25" i="3"/>
  <c r="CN45" i="3"/>
  <c r="CN7" i="3" s="1"/>
  <c r="CQ3" i="3"/>
  <c r="CP41" i="3"/>
  <c r="CP28" i="3"/>
  <c r="BU30" i="8"/>
  <c r="BU46" i="8"/>
  <c r="AY17" i="6"/>
  <c r="AZ14" i="6" s="1"/>
  <c r="AY38" i="8"/>
  <c r="BX35" i="8"/>
  <c r="BX27" i="8"/>
  <c r="BW45" i="7"/>
  <c r="BW42" i="7"/>
  <c r="BX35" i="7"/>
  <c r="H39" i="10" s="1"/>
  <c r="CC7" i="7" l="1"/>
  <c r="G47" i="10"/>
  <c r="G46" i="10"/>
  <c r="CL35" i="7"/>
  <c r="BZ27" i="8" s="1"/>
  <c r="BZ42" i="7"/>
  <c r="BZ45" i="7"/>
  <c r="BZ47" i="7" s="1"/>
  <c r="CA24" i="12"/>
  <c r="CD6" i="7" s="1"/>
  <c r="CA23" i="12"/>
  <c r="CD5" i="7" s="1"/>
  <c r="CD7" i="7" s="1"/>
  <c r="CD42" i="7" s="1"/>
  <c r="CN35" i="7"/>
  <c r="CZ35" i="7" s="1"/>
  <c r="CA27" i="8" s="1"/>
  <c r="CZ32" i="7"/>
  <c r="CC19" i="12"/>
  <c r="CB21" i="12"/>
  <c r="CI45" i="7"/>
  <c r="CI47" i="7" s="1"/>
  <c r="CO45" i="3"/>
  <c r="CO7" i="3" s="1"/>
  <c r="CF47" i="7"/>
  <c r="CJ24" i="3"/>
  <c r="CJ39" i="7" s="1"/>
  <c r="CJ18" i="3"/>
  <c r="CJ14" i="3"/>
  <c r="CJ23" i="3"/>
  <c r="CJ17" i="3"/>
  <c r="CJ16" i="3"/>
  <c r="CI20" i="3"/>
  <c r="CI19" i="3" s="1"/>
  <c r="CP42" i="3"/>
  <c r="CP43" i="3" s="1"/>
  <c r="CR3" i="3"/>
  <c r="CQ41" i="3"/>
  <c r="CQ28" i="3"/>
  <c r="CN8" i="3"/>
  <c r="CN11" i="3" s="1"/>
  <c r="CN10" i="3"/>
  <c r="CK13" i="3"/>
  <c r="H44" i="10"/>
  <c r="H45" i="10" s="1"/>
  <c r="BX42" i="7"/>
  <c r="BW47" i="7"/>
  <c r="BX45" i="7"/>
  <c r="BY27" i="8"/>
  <c r="BV35" i="8"/>
  <c r="AY20" i="6"/>
  <c r="AY48" i="8"/>
  <c r="AY49" i="8" s="1"/>
  <c r="CC42" i="7" l="1"/>
  <c r="CD19" i="12"/>
  <c r="CC21" i="12"/>
  <c r="CB23" i="12"/>
  <c r="CE5" i="7" s="1"/>
  <c r="CB24" i="12"/>
  <c r="CE6" i="7" s="1"/>
  <c r="CN13" i="3"/>
  <c r="CQ42" i="3"/>
  <c r="CQ43" i="3" s="1"/>
  <c r="CQ44" i="3"/>
  <c r="CQ45" i="3" s="1"/>
  <c r="CQ7" i="3" s="1"/>
  <c r="CK14" i="3"/>
  <c r="CL14" i="3" s="1"/>
  <c r="BZ45" i="8" s="1"/>
  <c r="CK23" i="3"/>
  <c r="CK18" i="3"/>
  <c r="CL18" i="3" s="1"/>
  <c r="I16" i="10" s="1"/>
  <c r="I19" i="10" s="1"/>
  <c r="CK24" i="3"/>
  <c r="CK16" i="3"/>
  <c r="CL16" i="3" s="1"/>
  <c r="CK17" i="3"/>
  <c r="CL17" i="3" s="1"/>
  <c r="CK20" i="3"/>
  <c r="CL13" i="3"/>
  <c r="CJ20" i="3"/>
  <c r="CJ19" i="3" s="1"/>
  <c r="CO8" i="3"/>
  <c r="CO11" i="3" s="1"/>
  <c r="CO10" i="3"/>
  <c r="CS3" i="3"/>
  <c r="CR41" i="3"/>
  <c r="CR28" i="3"/>
  <c r="CP44" i="3"/>
  <c r="CP45" i="3" s="1"/>
  <c r="CP7" i="3" s="1"/>
  <c r="CJ38" i="7"/>
  <c r="CJ40" i="7" s="1"/>
  <c r="CJ25" i="3"/>
  <c r="CL23" i="3"/>
  <c r="BY35" i="8"/>
  <c r="AZ33" i="8"/>
  <c r="AZ31" i="8"/>
  <c r="BX43" i="8"/>
  <c r="BX47" i="7"/>
  <c r="H47" i="10"/>
  <c r="H46" i="10"/>
  <c r="CK19" i="3" l="1"/>
  <c r="K15" i="9" s="1"/>
  <c r="CE7" i="7"/>
  <c r="CE42" i="7" s="1"/>
  <c r="CC24" i="12"/>
  <c r="CF6" i="7" s="1"/>
  <c r="CC23" i="12"/>
  <c r="CF5" i="7" s="1"/>
  <c r="CF7" i="7" s="1"/>
  <c r="CF42" i="7" s="1"/>
  <c r="CD21" i="12"/>
  <c r="CE19" i="12"/>
  <c r="CJ45" i="7"/>
  <c r="CP8" i="3"/>
  <c r="CP11" i="3" s="1"/>
  <c r="CP10" i="3"/>
  <c r="CQ8" i="3"/>
  <c r="CQ11" i="3" s="1"/>
  <c r="CQ10" i="3"/>
  <c r="CR42" i="3"/>
  <c r="CR43" i="3" s="1"/>
  <c r="CR44" i="3"/>
  <c r="CR45" i="3" s="1"/>
  <c r="CR7" i="3" s="1"/>
  <c r="CS41" i="3"/>
  <c r="CT3" i="3"/>
  <c r="CS28" i="3"/>
  <c r="CL24" i="3"/>
  <c r="CK39" i="7"/>
  <c r="CL39" i="7" s="1"/>
  <c r="CN14" i="3"/>
  <c r="CN24" i="3"/>
  <c r="CN39" i="7" s="1"/>
  <c r="CN16" i="3"/>
  <c r="CN23" i="3"/>
  <c r="CN17" i="3"/>
  <c r="CN18" i="3"/>
  <c r="CK38" i="7"/>
  <c r="CK25" i="3"/>
  <c r="CL25" i="3" s="1"/>
  <c r="I39" i="10" s="1"/>
  <c r="I44" i="10" s="1"/>
  <c r="BZ5" i="8"/>
  <c r="I9" i="10"/>
  <c r="I13" i="10" s="1"/>
  <c r="CL20" i="3"/>
  <c r="CO13" i="3"/>
  <c r="AZ38" i="8"/>
  <c r="AZ17" i="6"/>
  <c r="BA14" i="6" s="1"/>
  <c r="BX44" i="8"/>
  <c r="BY43" i="8"/>
  <c r="CQ13" i="3" l="1"/>
  <c r="CQ16" i="3" s="1"/>
  <c r="CF19" i="12"/>
  <c r="CE21" i="12"/>
  <c r="CD23" i="12"/>
  <c r="CG5" i="7" s="1"/>
  <c r="CD24" i="12"/>
  <c r="CG6" i="7" s="1"/>
  <c r="CP13" i="3"/>
  <c r="CS42" i="3"/>
  <c r="CS43" i="3" s="1"/>
  <c r="CS44" i="3"/>
  <c r="CS45" i="3" s="1"/>
  <c r="CS7" i="3" s="1"/>
  <c r="CN20" i="3"/>
  <c r="CN19" i="3" s="1"/>
  <c r="CO14" i="3"/>
  <c r="CO18" i="3"/>
  <c r="CO23" i="3"/>
  <c r="CO16" i="3"/>
  <c r="CO17" i="3"/>
  <c r="CO24" i="3"/>
  <c r="CO39" i="7" s="1"/>
  <c r="CU3" i="3"/>
  <c r="CT41" i="3"/>
  <c r="CT28" i="3"/>
  <c r="CN38" i="7"/>
  <c r="CN25" i="3"/>
  <c r="CR8" i="3"/>
  <c r="CR11" i="3" s="1"/>
  <c r="CR10" i="3"/>
  <c r="CR13" i="3" s="1"/>
  <c r="CJ47" i="7"/>
  <c r="CQ17" i="3"/>
  <c r="CQ23" i="3"/>
  <c r="BZ22" i="8"/>
  <c r="BZ42" i="8" s="1"/>
  <c r="BZ14" i="8"/>
  <c r="BZ19" i="8" s="1"/>
  <c r="BZ23" i="8"/>
  <c r="CK40" i="7"/>
  <c r="CL38" i="7"/>
  <c r="K22" i="13"/>
  <c r="J22" i="13"/>
  <c r="BX30" i="8"/>
  <c r="BX46" i="8"/>
  <c r="J47" i="9" s="1"/>
  <c r="BY44" i="8"/>
  <c r="AZ20" i="6"/>
  <c r="AZ48" i="8"/>
  <c r="AZ49" i="8" s="1"/>
  <c r="CQ18" i="3" l="1"/>
  <c r="CQ14" i="3"/>
  <c r="CQ24" i="3"/>
  <c r="CQ39" i="7" s="1"/>
  <c r="CG7" i="7"/>
  <c r="CG42" i="7" s="1"/>
  <c r="CE23" i="12"/>
  <c r="CH5" i="7" s="1"/>
  <c r="CE24" i="12"/>
  <c r="CH6" i="7" s="1"/>
  <c r="CF21" i="12"/>
  <c r="CG19" i="12"/>
  <c r="CR14" i="3"/>
  <c r="CR18" i="3"/>
  <c r="CR17" i="3"/>
  <c r="CR23" i="3"/>
  <c r="CR24" i="3"/>
  <c r="CR39" i="7" s="1"/>
  <c r="CR16" i="3"/>
  <c r="CQ20" i="3"/>
  <c r="CS10" i="3"/>
  <c r="CS8" i="3"/>
  <c r="CS11" i="3" s="1"/>
  <c r="CT42" i="3"/>
  <c r="CT43" i="3" s="1"/>
  <c r="CU41" i="3"/>
  <c r="CU28" i="3"/>
  <c r="CV3" i="3"/>
  <c r="CQ38" i="7"/>
  <c r="CQ40" i="7" s="1"/>
  <c r="CQ25" i="3"/>
  <c r="CO38" i="7"/>
  <c r="CO40" i="7" s="1"/>
  <c r="CO25" i="3"/>
  <c r="CP14" i="3"/>
  <c r="CP18" i="3"/>
  <c r="CP16" i="3"/>
  <c r="CP23" i="3"/>
  <c r="CP24" i="3"/>
  <c r="CP39" i="7" s="1"/>
  <c r="CP17" i="3"/>
  <c r="CP20" i="3"/>
  <c r="CK45" i="7"/>
  <c r="CL40" i="7"/>
  <c r="CN40" i="7"/>
  <c r="CO20" i="3"/>
  <c r="CO19" i="3" s="1"/>
  <c r="BA33" i="8"/>
  <c r="BA31" i="8"/>
  <c r="I31" i="13"/>
  <c r="BY46" i="8"/>
  <c r="BY30" i="8"/>
  <c r="CP19" i="3" l="1"/>
  <c r="CQ19" i="3" s="1"/>
  <c r="CT44" i="3"/>
  <c r="CT45" i="3" s="1"/>
  <c r="CT7" i="3" s="1"/>
  <c r="CH7" i="7"/>
  <c r="CH42" i="7" s="1"/>
  <c r="CH19" i="12"/>
  <c r="CH21" i="12" s="1"/>
  <c r="CG21" i="12"/>
  <c r="CF24" i="12"/>
  <c r="CI6" i="7" s="1"/>
  <c r="CF23" i="12"/>
  <c r="CI5" i="7" s="1"/>
  <c r="CI7" i="7" s="1"/>
  <c r="CI42" i="7" s="1"/>
  <c r="CP25" i="3"/>
  <c r="CP38" i="7"/>
  <c r="CP40" i="7" s="1"/>
  <c r="CU42" i="3"/>
  <c r="CU43" i="3" s="1"/>
  <c r="CU44" i="3"/>
  <c r="CU45" i="3" s="1"/>
  <c r="CU7" i="3" s="1"/>
  <c r="CT8" i="3"/>
  <c r="CT11" i="3" s="1"/>
  <c r="CT10" i="3"/>
  <c r="CN45" i="7"/>
  <c r="CS13" i="3"/>
  <c r="CW3" i="3"/>
  <c r="CV41" i="3"/>
  <c r="CV28" i="3"/>
  <c r="CK47" i="7"/>
  <c r="CL47" i="7" s="1"/>
  <c r="BZ43" i="8" s="1"/>
  <c r="BZ44" i="8" s="1"/>
  <c r="K47" i="9" s="1"/>
  <c r="CL45" i="7"/>
  <c r="CR38" i="7"/>
  <c r="CR40" i="7" s="1"/>
  <c r="CR25" i="3"/>
  <c r="CO45" i="7"/>
  <c r="CO47" i="7" s="1"/>
  <c r="CQ45" i="7"/>
  <c r="CQ47" i="7" s="1"/>
  <c r="BA38" i="8"/>
  <c r="BA17" i="6"/>
  <c r="BB14" i="6" s="1"/>
  <c r="CG24" i="12" l="1"/>
  <c r="CJ6" i="7" s="1"/>
  <c r="CG23" i="12"/>
  <c r="CJ5" i="7" s="1"/>
  <c r="CJ7" i="7" s="1"/>
  <c r="CJ42" i="7" s="1"/>
  <c r="CH24" i="12"/>
  <c r="CK6" i="7" s="1"/>
  <c r="CL6" i="7" s="1"/>
  <c r="CH23" i="12"/>
  <c r="CK5" i="7" s="1"/>
  <c r="CI21" i="12"/>
  <c r="CK19" i="12"/>
  <c r="CJ21" i="12"/>
  <c r="CS18" i="3"/>
  <c r="CS17" i="3"/>
  <c r="CS23" i="3"/>
  <c r="CS24" i="3"/>
  <c r="CS39" i="7" s="1"/>
  <c r="CS16" i="3"/>
  <c r="CS14" i="3"/>
  <c r="CR20" i="3"/>
  <c r="CR19" i="3" s="1"/>
  <c r="CT13" i="3"/>
  <c r="CS20" i="3" s="1"/>
  <c r="CV42" i="3"/>
  <c r="CV43" i="3" s="1"/>
  <c r="CV44" i="3"/>
  <c r="CW41" i="3"/>
  <c r="CX3" i="3"/>
  <c r="CW28" i="3"/>
  <c r="CU10" i="3"/>
  <c r="CU8" i="3"/>
  <c r="CU11" i="3" s="1"/>
  <c r="CR45" i="7"/>
  <c r="CR47" i="7" s="1"/>
  <c r="CP45" i="7"/>
  <c r="CP47" i="7" s="1"/>
  <c r="CN47" i="7"/>
  <c r="BA20" i="6"/>
  <c r="BA48" i="8"/>
  <c r="BA49" i="8" s="1"/>
  <c r="CK7" i="7" l="1"/>
  <c r="CL5" i="7"/>
  <c r="CL19" i="12"/>
  <c r="CK21" i="12"/>
  <c r="CJ23" i="12"/>
  <c r="CN5" i="7" s="1"/>
  <c r="CJ24" i="12"/>
  <c r="CN6" i="7" s="1"/>
  <c r="CI24" i="12"/>
  <c r="CI23" i="12"/>
  <c r="CX28" i="3"/>
  <c r="CY3" i="3"/>
  <c r="CX41" i="3"/>
  <c r="CW42" i="3"/>
  <c r="CW43" i="3" s="1"/>
  <c r="CW44" i="3"/>
  <c r="CW45" i="3" s="1"/>
  <c r="CW7" i="3" s="1"/>
  <c r="CT24" i="3"/>
  <c r="CT39" i="7" s="1"/>
  <c r="CT18" i="3"/>
  <c r="CT17" i="3"/>
  <c r="CT14" i="3"/>
  <c r="CT23" i="3"/>
  <c r="CT16" i="3"/>
  <c r="CV45" i="3"/>
  <c r="CV7" i="3" s="1"/>
  <c r="CS38" i="7"/>
  <c r="CS25" i="3"/>
  <c r="CU13" i="3"/>
  <c r="CT20" i="3" s="1"/>
  <c r="CS19" i="3"/>
  <c r="BB31" i="8"/>
  <c r="BB33" i="8"/>
  <c r="CN7" i="7" l="1"/>
  <c r="CL7" i="7"/>
  <c r="CK42" i="7"/>
  <c r="CK23" i="12"/>
  <c r="CO5" i="7" s="1"/>
  <c r="CK24" i="12"/>
  <c r="CO6" i="7" s="1"/>
  <c r="CM19" i="12"/>
  <c r="CL21" i="12"/>
  <c r="CS40" i="7"/>
  <c r="CV10" i="3"/>
  <c r="CV8" i="3"/>
  <c r="CV11" i="3" s="1"/>
  <c r="CW8" i="3"/>
  <c r="CW11" i="3" s="1"/>
  <c r="CW10" i="3"/>
  <c r="CU17" i="3"/>
  <c r="CU14" i="3"/>
  <c r="CU18" i="3"/>
  <c r="CU23" i="3"/>
  <c r="CU16" i="3"/>
  <c r="CU24" i="3"/>
  <c r="CU39" i="7" s="1"/>
  <c r="CT19" i="3"/>
  <c r="CT25" i="3"/>
  <c r="CT38" i="7"/>
  <c r="CT40" i="7" s="1"/>
  <c r="CX42" i="3"/>
  <c r="CX43" i="3" s="1"/>
  <c r="CX44" i="3"/>
  <c r="CZ3" i="3"/>
  <c r="CY41" i="3"/>
  <c r="CY28" i="3"/>
  <c r="CZ28" i="3" s="1"/>
  <c r="BB17" i="6"/>
  <c r="BC14" i="6" s="1"/>
  <c r="BB38" i="8"/>
  <c r="CW13" i="3" l="1"/>
  <c r="CW23" i="3" s="1"/>
  <c r="CN42" i="7"/>
  <c r="CO7" i="7"/>
  <c r="CO42" i="7" s="1"/>
  <c r="I20" i="10"/>
  <c r="I45" i="10" s="1"/>
  <c r="BZ24" i="8"/>
  <c r="CZ8" i="7"/>
  <c r="CL42" i="7"/>
  <c r="CL23" i="12"/>
  <c r="CP5" i="7" s="1"/>
  <c r="CL24" i="12"/>
  <c r="CP6" i="7" s="1"/>
  <c r="CN19" i="12"/>
  <c r="CM21" i="12"/>
  <c r="CY42" i="3"/>
  <c r="CY43" i="3" s="1"/>
  <c r="CZ41" i="3"/>
  <c r="J7" i="10"/>
  <c r="CX45" i="3"/>
  <c r="CX7" i="3" s="1"/>
  <c r="CS45" i="7"/>
  <c r="CW14" i="3"/>
  <c r="CU38" i="7"/>
  <c r="CU25" i="3"/>
  <c r="CV13" i="3"/>
  <c r="CT45" i="7"/>
  <c r="CT47" i="7" s="1"/>
  <c r="BB48" i="8"/>
  <c r="BB49" i="8" s="1"/>
  <c r="BB20" i="6"/>
  <c r="CW24" i="3" l="1"/>
  <c r="CW39" i="7" s="1"/>
  <c r="CW16" i="3"/>
  <c r="CW17" i="3"/>
  <c r="CW18" i="3"/>
  <c r="I47" i="10"/>
  <c r="I46" i="10"/>
  <c r="CP7" i="7"/>
  <c r="CP42" i="7" s="1"/>
  <c r="CM24" i="12"/>
  <c r="CQ6" i="7" s="1"/>
  <c r="CM23" i="12"/>
  <c r="CQ5" i="7" s="1"/>
  <c r="CO19" i="12"/>
  <c r="CN21" i="12"/>
  <c r="CX10" i="3"/>
  <c r="CX8" i="3"/>
  <c r="CX11" i="3" s="1"/>
  <c r="CV17" i="3"/>
  <c r="CV23" i="3"/>
  <c r="CV24" i="3"/>
  <c r="CV39" i="7" s="1"/>
  <c r="CV20" i="3"/>
  <c r="CV18" i="3"/>
  <c r="CV16" i="3"/>
  <c r="CV14" i="3"/>
  <c r="CU20" i="3"/>
  <c r="CU19" i="3" s="1"/>
  <c r="CS47" i="7"/>
  <c r="CW38" i="7"/>
  <c r="CW40" i="7" s="1"/>
  <c r="CW25" i="3"/>
  <c r="CZ42" i="3"/>
  <c r="CZ43" i="3" s="1"/>
  <c r="CY44" i="3"/>
  <c r="CY45" i="3" s="1"/>
  <c r="CY7" i="3" s="1"/>
  <c r="CU40" i="7"/>
  <c r="BC31" i="8"/>
  <c r="BC33" i="8"/>
  <c r="CQ7" i="7" l="1"/>
  <c r="CQ42" i="7" s="1"/>
  <c r="CN24" i="12"/>
  <c r="CR6" i="7" s="1"/>
  <c r="CN23" i="12"/>
  <c r="CR5" i="7" s="1"/>
  <c r="CP19" i="12"/>
  <c r="CO21" i="12"/>
  <c r="CY8" i="3"/>
  <c r="CY10" i="3"/>
  <c r="CZ7" i="3"/>
  <c r="CW45" i="7"/>
  <c r="CW47" i="7" s="1"/>
  <c r="CV25" i="3"/>
  <c r="CV38" i="7"/>
  <c r="CU45" i="7"/>
  <c r="CV19" i="3"/>
  <c r="CZ44" i="3"/>
  <c r="CX13" i="3"/>
  <c r="BC38" i="8"/>
  <c r="BC48" i="8" s="1"/>
  <c r="BC49" i="8" s="1"/>
  <c r="BC17" i="6"/>
  <c r="BD14" i="6" s="1"/>
  <c r="CR7" i="7" l="1"/>
  <c r="CR42" i="7" s="1"/>
  <c r="CP21" i="12"/>
  <c r="CQ19" i="12"/>
  <c r="CO24" i="12"/>
  <c r="CS6" i="7" s="1"/>
  <c r="CO23" i="12"/>
  <c r="CS5" i="7" s="1"/>
  <c r="CX17" i="3"/>
  <c r="CX14" i="3"/>
  <c r="CX18" i="3"/>
  <c r="CX23" i="3"/>
  <c r="CX24" i="3"/>
  <c r="CX39" i="7" s="1"/>
  <c r="CX16" i="3"/>
  <c r="CW20" i="3"/>
  <c r="CW19" i="3" s="1"/>
  <c r="CV40" i="7"/>
  <c r="CZ10" i="3"/>
  <c r="CU47" i="7"/>
  <c r="CY11" i="3"/>
  <c r="CZ11" i="3" s="1"/>
  <c r="CZ8" i="3"/>
  <c r="BC20" i="6"/>
  <c r="BD31" i="8" s="1"/>
  <c r="CS7" i="7" l="1"/>
  <c r="CS42" i="7" s="1"/>
  <c r="CR19" i="12"/>
  <c r="CQ21" i="12"/>
  <c r="CP24" i="12"/>
  <c r="CT6" i="7" s="1"/>
  <c r="CP23" i="12"/>
  <c r="CT5" i="7" s="1"/>
  <c r="CX25" i="3"/>
  <c r="CX38" i="7"/>
  <c r="CY13" i="3"/>
  <c r="CV45" i="7"/>
  <c r="BD33" i="8"/>
  <c r="BD38" i="8" s="1"/>
  <c r="BD48" i="8" s="1"/>
  <c r="BD49" i="8" s="1"/>
  <c r="CT7" i="7" l="1"/>
  <c r="CT42" i="7" s="1"/>
  <c r="CQ23" i="12"/>
  <c r="CU5" i="7" s="1"/>
  <c r="CQ24" i="12"/>
  <c r="CU6" i="7" s="1"/>
  <c r="CS19" i="12"/>
  <c r="CR21" i="12"/>
  <c r="CV47" i="7"/>
  <c r="CY16" i="3"/>
  <c r="CZ16" i="3" s="1"/>
  <c r="CY24" i="3"/>
  <c r="CY20" i="3"/>
  <c r="CY23" i="3"/>
  <c r="CY17" i="3"/>
  <c r="CZ17" i="3" s="1"/>
  <c r="CY14" i="3"/>
  <c r="CZ14" i="3" s="1"/>
  <c r="CA45" i="8" s="1"/>
  <c r="CY18" i="3"/>
  <c r="CZ18" i="3" s="1"/>
  <c r="J16" i="10" s="1"/>
  <c r="J19" i="10" s="1"/>
  <c r="CZ13" i="3"/>
  <c r="CX20" i="3"/>
  <c r="CX19" i="3" s="1"/>
  <c r="CX40" i="7"/>
  <c r="BD17" i="6"/>
  <c r="BE14" i="6" s="1"/>
  <c r="CZ20" i="3" l="1"/>
  <c r="CU7" i="7"/>
  <c r="CU42" i="7" s="1"/>
  <c r="CR23" i="12"/>
  <c r="CV5" i="7" s="1"/>
  <c r="CR24" i="12"/>
  <c r="CV6" i="7" s="1"/>
  <c r="CS21" i="12"/>
  <c r="CT19" i="12"/>
  <c r="CX45" i="7"/>
  <c r="CZ24" i="3"/>
  <c r="CY39" i="7"/>
  <c r="CZ39" i="7" s="1"/>
  <c r="CA5" i="8"/>
  <c r="J9" i="10"/>
  <c r="J13" i="10" s="1"/>
  <c r="CY38" i="7"/>
  <c r="CY25" i="3"/>
  <c r="CZ25" i="3" s="1"/>
  <c r="J39" i="10" s="1"/>
  <c r="J44" i="10" s="1"/>
  <c r="CZ23" i="3"/>
  <c r="CY19" i="3"/>
  <c r="L15" i="9" s="1"/>
  <c r="BD20" i="6"/>
  <c r="BE31" i="8" s="1"/>
  <c r="CV7" i="7" l="1"/>
  <c r="CV42" i="7" s="1"/>
  <c r="CT21" i="12"/>
  <c r="CU19" i="12"/>
  <c r="CU21" i="12" s="1"/>
  <c r="CS23" i="12"/>
  <c r="CW5" i="7" s="1"/>
  <c r="CS24" i="12"/>
  <c r="CW6" i="7" s="1"/>
  <c r="CA14" i="8"/>
  <c r="CA19" i="8" s="1"/>
  <c r="CA23" i="8"/>
  <c r="CA22" i="8"/>
  <c r="CA42" i="8" s="1"/>
  <c r="M22" i="13"/>
  <c r="N22" i="13"/>
  <c r="CY40" i="7"/>
  <c r="CZ38" i="7"/>
  <c r="CX47" i="7"/>
  <c r="BE33" i="8"/>
  <c r="BE38" i="8" s="1"/>
  <c r="BE48" i="8" s="1"/>
  <c r="BE49" i="8" s="1"/>
  <c r="CW7" i="7" l="1"/>
  <c r="CW42" i="7" s="1"/>
  <c r="CU24" i="12"/>
  <c r="CY6" i="7" s="1"/>
  <c r="CU23" i="12"/>
  <c r="CY5" i="7" s="1"/>
  <c r="CV21" i="12"/>
  <c r="CT24" i="12"/>
  <c r="CX6" i="7" s="1"/>
  <c r="CT23" i="12"/>
  <c r="CX5" i="7" s="1"/>
  <c r="CY45" i="7"/>
  <c r="CZ40" i="7"/>
  <c r="BE17" i="6"/>
  <c r="BF14" i="6" s="1"/>
  <c r="CX7" i="7" l="1"/>
  <c r="CX42" i="7" s="1"/>
  <c r="CZ6" i="7"/>
  <c r="CY7" i="7"/>
  <c r="CZ5" i="7"/>
  <c r="CV24" i="12"/>
  <c r="CV23" i="12"/>
  <c r="CY47" i="7"/>
  <c r="CZ47" i="7" s="1"/>
  <c r="CA43" i="8" s="1"/>
  <c r="CA44" i="8" s="1"/>
  <c r="L47" i="9" s="1"/>
  <c r="CZ45" i="7"/>
  <c r="BE20" i="6"/>
  <c r="BF31" i="8" s="1"/>
  <c r="CZ7" i="7" l="1"/>
  <c r="CY42" i="7"/>
  <c r="BF33" i="8"/>
  <c r="BF38" i="8" s="1"/>
  <c r="BF48" i="8" s="1"/>
  <c r="BF49" i="8" s="1"/>
  <c r="J20" i="10" l="1"/>
  <c r="J45" i="10" s="1"/>
  <c r="CA24" i="8"/>
  <c r="CZ42" i="7"/>
  <c r="BF17" i="6"/>
  <c r="BG14" i="6" s="1"/>
  <c r="J46" i="10" l="1"/>
  <c r="J47" i="10"/>
  <c r="BF20" i="6"/>
  <c r="BG31" i="8" s="1"/>
  <c r="BG33" i="8" l="1"/>
  <c r="BG38" i="8" s="1"/>
  <c r="BG48" i="8" s="1"/>
  <c r="BG49" i="8" s="1"/>
  <c r="BG17" i="6" l="1"/>
  <c r="BH14" i="6" s="1"/>
  <c r="BG20" i="6" l="1"/>
  <c r="BH31" i="8" s="1"/>
  <c r="BH33" i="8" l="1"/>
  <c r="BH38" i="8" s="1"/>
  <c r="BH48" i="8" s="1"/>
  <c r="BH49" i="8" s="1"/>
  <c r="BH17" i="6" l="1"/>
  <c r="BI14" i="6" s="1"/>
  <c r="BH20" i="6" l="1"/>
  <c r="BI31" i="8" s="1"/>
  <c r="BI33" i="8" l="1"/>
  <c r="BI38" i="8" s="1"/>
  <c r="BI48" i="8" s="1"/>
  <c r="BI49" i="8" s="1"/>
  <c r="BJ14" i="6" l="1"/>
  <c r="BI17" i="6"/>
  <c r="BL14" i="6" s="1"/>
  <c r="BI20" i="6" l="1"/>
  <c r="BJ17" i="6"/>
  <c r="BJ31" i="8" l="1"/>
  <c r="BJ20" i="6"/>
  <c r="G49" i="10" s="1"/>
  <c r="G50" i="10" s="1"/>
  <c r="G51" i="10" s="1"/>
  <c r="BJ33" i="8"/>
  <c r="BK33" i="8" s="1"/>
  <c r="BJ15" i="6"/>
  <c r="G55" i="10" l="1"/>
  <c r="H12" i="13" s="1"/>
  <c r="I32" i="9"/>
  <c r="I43" i="9"/>
  <c r="BL17" i="6"/>
  <c r="BM14" i="6" s="1"/>
  <c r="BJ38" i="8"/>
  <c r="BK31" i="8"/>
  <c r="BJ48" i="8" l="1"/>
  <c r="BJ49" i="8" s="1"/>
  <c r="BK38" i="8"/>
  <c r="BK39" i="8" s="1"/>
  <c r="H19" i="13"/>
  <c r="H34" i="13" s="1"/>
  <c r="I48" i="9"/>
  <c r="H46" i="13"/>
  <c r="H53" i="13" s="1"/>
  <c r="H56" i="13" l="1"/>
  <c r="I57" i="9"/>
  <c r="BK49" i="8"/>
  <c r="BM33" i="8"/>
  <c r="BM17" i="6" l="1"/>
  <c r="BN14" i="6" s="1"/>
  <c r="BN33" i="8" l="1"/>
  <c r="BN17" i="6" l="1"/>
  <c r="BO14" i="6" s="1"/>
  <c r="BO33" i="8" l="1"/>
  <c r="BO17" i="6" l="1"/>
  <c r="BP14" i="6" s="1"/>
  <c r="BP33" i="8" l="1"/>
  <c r="BP17" i="6" l="1"/>
  <c r="BQ14" i="6" s="1"/>
  <c r="BQ33" i="8" l="1"/>
  <c r="BQ17" i="6" l="1"/>
  <c r="BR14" i="6" s="1"/>
  <c r="BR33" i="8" l="1"/>
  <c r="BR17" i="6" l="1"/>
  <c r="BS14" i="6" s="1"/>
  <c r="BS33" i="8" l="1"/>
  <c r="BS17" i="6" l="1"/>
  <c r="BT14" i="6" s="1"/>
  <c r="BT33" i="8" l="1"/>
  <c r="BT17" i="6" l="1"/>
  <c r="BU14" i="6" s="1"/>
  <c r="BU33" i="8" l="1"/>
  <c r="BU17" i="6" l="1"/>
  <c r="BV14" i="6" s="1"/>
  <c r="BV33" i="8" l="1"/>
  <c r="BV17" i="6" l="1"/>
  <c r="BW14" i="6" s="1"/>
  <c r="BW33" i="8" l="1"/>
  <c r="BX14" i="6" l="1"/>
  <c r="BW17" i="6"/>
  <c r="BX17" i="6" l="1"/>
  <c r="CK17" i="6" s="1"/>
  <c r="BX33" i="8" l="1"/>
  <c r="BY33" i="8" s="1"/>
  <c r="BX15" i="6"/>
  <c r="CK15" i="6" s="1"/>
  <c r="J43" i="9"/>
  <c r="I46" i="13" l="1"/>
  <c r="G63" i="11" l="1"/>
  <c r="F38" i="13" s="1"/>
  <c r="F40" i="13" s="1"/>
  <c r="H63" i="11"/>
  <c r="J63" i="11"/>
  <c r="G11" i="9" s="1"/>
  <c r="E24" i="10" l="1"/>
  <c r="E45" i="10" s="1"/>
  <c r="E51" i="10" s="1"/>
  <c r="E22" i="10"/>
  <c r="F15" i="13" s="1"/>
  <c r="E47" i="10" l="1"/>
  <c r="E55" i="10"/>
  <c r="G32" i="9" s="1"/>
  <c r="E46" i="10"/>
  <c r="E58" i="10" l="1"/>
  <c r="F12" i="13"/>
  <c r="F19" i="13" s="1"/>
  <c r="F34" i="13" s="1"/>
  <c r="F56" i="13" s="1"/>
  <c r="F57" i="10" l="1"/>
  <c r="F58" i="10" s="1"/>
  <c r="G34" i="9"/>
  <c r="G35" i="9" l="1"/>
  <c r="H33" i="9"/>
  <c r="G65" i="9"/>
  <c r="G57" i="10"/>
  <c r="G58" i="10" s="1"/>
  <c r="H34" i="9"/>
  <c r="G52" i="9" l="1"/>
  <c r="G56" i="9"/>
  <c r="I33" i="9"/>
  <c r="H35" i="9"/>
  <c r="H56" i="9" s="1"/>
  <c r="H65" i="9"/>
  <c r="H57" i="10"/>
  <c r="I34" i="9"/>
  <c r="J33" i="9" s="1"/>
  <c r="G19" i="9" l="1"/>
  <c r="G58" i="9"/>
  <c r="I35" i="9"/>
  <c r="I65" i="9"/>
  <c r="H52" i="9"/>
  <c r="H58" i="9" l="1"/>
  <c r="H19" i="9"/>
  <c r="I52" i="9"/>
  <c r="I56" i="9"/>
  <c r="F60" i="13"/>
  <c r="G20" i="9"/>
  <c r="G53" i="9" s="1"/>
  <c r="H59" i="9" l="1"/>
  <c r="G59" i="13"/>
  <c r="F62" i="13"/>
  <c r="F65" i="13" s="1"/>
  <c r="G60" i="13"/>
  <c r="H20" i="9"/>
  <c r="H24" i="9" s="1"/>
  <c r="H53" i="9" s="1"/>
  <c r="I19" i="9"/>
  <c r="I58" i="9"/>
  <c r="I59" i="9" l="1"/>
  <c r="I20" i="9"/>
  <c r="I24" i="9" s="1"/>
  <c r="I53" i="9" s="1"/>
  <c r="H60" i="13"/>
  <c r="H59" i="13"/>
  <c r="G62" i="13"/>
  <c r="G65" i="13" s="1"/>
  <c r="I59" i="13" l="1"/>
  <c r="H62" i="13"/>
  <c r="H65" i="13" s="1"/>
  <c r="BX5" i="6"/>
  <c r="BM9" i="8"/>
  <c r="BY9" i="8" s="1"/>
  <c r="BL4" i="6"/>
  <c r="BL6" i="6" s="1"/>
  <c r="BL20" i="6" s="1"/>
  <c r="BM4" i="6" l="1"/>
  <c r="BM6" i="6" s="1"/>
  <c r="BM20" i="6" s="1"/>
  <c r="BN31" i="8" s="1"/>
  <c r="BN38" i="8" s="1"/>
  <c r="BN48" i="8" s="1"/>
  <c r="BM19" i="8"/>
  <c r="BY19" i="8" s="1"/>
  <c r="BY20" i="8" s="1"/>
  <c r="BN4" i="6"/>
  <c r="BM31" i="8"/>
  <c r="BN6" i="6" l="1"/>
  <c r="BN20" i="6" s="1"/>
  <c r="BO31" i="8" s="1"/>
  <c r="BO38" i="8" s="1"/>
  <c r="BO48" i="8" s="1"/>
  <c r="BO4" i="6"/>
  <c r="BM38" i="8"/>
  <c r="BO6" i="6" l="1"/>
  <c r="BO20" i="6" s="1"/>
  <c r="BP31" i="8" s="1"/>
  <c r="BP38" i="8" s="1"/>
  <c r="BP48" i="8" s="1"/>
  <c r="BP4" i="6"/>
  <c r="BM48" i="8"/>
  <c r="BM49" i="8" s="1"/>
  <c r="BN49" i="8" s="1"/>
  <c r="BO49" i="8" s="1"/>
  <c r="BP49" i="8" s="1"/>
  <c r="BP6" i="6" l="1"/>
  <c r="BP20" i="6" s="1"/>
  <c r="BQ31" i="8" s="1"/>
  <c r="BQ38" i="8" s="1"/>
  <c r="BQ48" i="8" s="1"/>
  <c r="BQ49" i="8" s="1"/>
  <c r="BQ4" i="6"/>
  <c r="BQ6" i="6" l="1"/>
  <c r="BQ20" i="6" s="1"/>
  <c r="BR31" i="8" s="1"/>
  <c r="BR4" i="6"/>
  <c r="BR38" i="8"/>
  <c r="BR6" i="6" l="1"/>
  <c r="BR20" i="6" s="1"/>
  <c r="BS31" i="8" s="1"/>
  <c r="BS38" i="8" s="1"/>
  <c r="BS48" i="8" s="1"/>
  <c r="BS4" i="6"/>
  <c r="BR48" i="8"/>
  <c r="BR49" i="8" s="1"/>
  <c r="BS49" i="8" l="1"/>
  <c r="BT4" i="6"/>
  <c r="BS6" i="6"/>
  <c r="BS20" i="6" s="1"/>
  <c r="BT31" i="8" s="1"/>
  <c r="BT38" i="8" s="1"/>
  <c r="BT48" i="8" s="1"/>
  <c r="BT49" i="8"/>
  <c r="BU4" i="6" l="1"/>
  <c r="BT6" i="6"/>
  <c r="BT20" i="6" s="1"/>
  <c r="BU31" i="8" s="1"/>
  <c r="BU38" i="8"/>
  <c r="BU6" i="6" l="1"/>
  <c r="BU20" i="6" s="1"/>
  <c r="BV31" i="8" s="1"/>
  <c r="BV38" i="8" s="1"/>
  <c r="BV48" i="8" s="1"/>
  <c r="BV4" i="6"/>
  <c r="BU48" i="8"/>
  <c r="BU49" i="8" s="1"/>
  <c r="BV49" i="8" s="1"/>
  <c r="BV6" i="6" l="1"/>
  <c r="BW4" i="6"/>
  <c r="J44" i="9" l="1"/>
  <c r="BX4" i="6"/>
  <c r="BY4" i="6" s="1"/>
  <c r="BW6" i="6"/>
  <c r="BW20" i="6" s="1"/>
  <c r="BX31" i="8" s="1"/>
  <c r="BV20" i="6"/>
  <c r="BX6" i="6"/>
  <c r="BX38" i="8"/>
  <c r="BW31" i="8" l="1"/>
  <c r="BX20" i="6"/>
  <c r="H49" i="10" s="1"/>
  <c r="H50" i="10" s="1"/>
  <c r="H51" i="10" s="1"/>
  <c r="H55" i="10" s="1"/>
  <c r="BY6" i="6"/>
  <c r="BY20" i="6" s="1"/>
  <c r="BZ4" i="6"/>
  <c r="I48" i="13"/>
  <c r="I53" i="13" s="1"/>
  <c r="J48" i="9"/>
  <c r="BX48" i="8"/>
  <c r="CA4" i="6" l="1"/>
  <c r="BZ6" i="6"/>
  <c r="BZ20" i="6" s="1"/>
  <c r="I12" i="13"/>
  <c r="H58" i="10"/>
  <c r="J32" i="9"/>
  <c r="BW38" i="8"/>
  <c r="BY31" i="8"/>
  <c r="BW48" i="8" l="1"/>
  <c r="BW49" i="8" s="1"/>
  <c r="BX49" i="8" s="1"/>
  <c r="BY38" i="8"/>
  <c r="BY39" i="8" s="1"/>
  <c r="I57" i="10"/>
  <c r="J34" i="9"/>
  <c r="I19" i="13"/>
  <c r="I34" i="13" s="1"/>
  <c r="I56" i="13" s="1"/>
  <c r="CB4" i="6"/>
  <c r="CA6" i="6"/>
  <c r="CA20" i="6" s="1"/>
  <c r="CB6" i="6" l="1"/>
  <c r="CB20" i="6" s="1"/>
  <c r="CC4" i="6"/>
  <c r="K33" i="9"/>
  <c r="J65" i="9"/>
  <c r="J35" i="9"/>
  <c r="BY49" i="8"/>
  <c r="K57" i="9" s="1"/>
  <c r="J57" i="9"/>
  <c r="J56" i="9" l="1"/>
  <c r="J52" i="9"/>
  <c r="CC6" i="6"/>
  <c r="CC20" i="6" s="1"/>
  <c r="CD4" i="6"/>
  <c r="CE4" i="6" l="1"/>
  <c r="CD6" i="6"/>
  <c r="CD20" i="6" s="1"/>
  <c r="J19" i="9"/>
  <c r="J58" i="9"/>
  <c r="J59" i="9" s="1"/>
  <c r="J20" i="9" l="1"/>
  <c r="J24" i="9" s="1"/>
  <c r="J53" i="9" s="1"/>
  <c r="I60" i="13"/>
  <c r="I62" i="13" s="1"/>
  <c r="I65" i="13" s="1"/>
  <c r="CF4" i="6"/>
  <c r="CE6" i="6"/>
  <c r="CE20" i="6" s="1"/>
  <c r="CG4" i="6" l="1"/>
  <c r="CF6" i="6"/>
  <c r="CF20" i="6" s="1"/>
  <c r="CH4" i="6" l="1"/>
  <c r="CG6" i="6"/>
  <c r="CG20" i="6" s="1"/>
  <c r="CI4" i="6" l="1"/>
  <c r="CH6" i="6"/>
  <c r="CH20" i="6" l="1"/>
  <c r="CK4" i="6"/>
  <c r="CJ4" i="6"/>
  <c r="CJ6" i="6" s="1"/>
  <c r="CJ20" i="6" s="1"/>
  <c r="CI6" i="6"/>
  <c r="CI20" i="6" s="1"/>
  <c r="K44" i="9" l="1"/>
  <c r="K48" i="9" s="1"/>
  <c r="CL4" i="6"/>
  <c r="CK6" i="6"/>
  <c r="BZ31" i="8" l="1"/>
  <c r="CK20" i="6"/>
  <c r="I49" i="10" s="1"/>
  <c r="I50" i="10" s="1"/>
  <c r="I51" i="10" s="1"/>
  <c r="I55" i="10" s="1"/>
  <c r="CL6" i="6"/>
  <c r="CL20" i="6" s="1"/>
  <c r="CM4" i="6"/>
  <c r="CN4" i="6" l="1"/>
  <c r="CM6" i="6"/>
  <c r="CM20" i="6" s="1"/>
  <c r="I58" i="10"/>
  <c r="K32" i="9"/>
  <c r="J57" i="10" l="1"/>
  <c r="K34" i="9"/>
  <c r="CN6" i="6"/>
  <c r="CN20" i="6" s="1"/>
  <c r="CO4" i="6"/>
  <c r="CO6" i="6" l="1"/>
  <c r="CO20" i="6" s="1"/>
  <c r="CP4" i="6"/>
  <c r="K65" i="9"/>
  <c r="K35" i="9"/>
  <c r="L33" i="9"/>
  <c r="K52" i="9" l="1"/>
  <c r="K56" i="9"/>
  <c r="CP6" i="6"/>
  <c r="CP20" i="6" s="1"/>
  <c r="CQ4" i="6"/>
  <c r="CR4" i="6" l="1"/>
  <c r="CQ6" i="6"/>
  <c r="CQ20" i="6" s="1"/>
  <c r="K19" i="9"/>
  <c r="K20" i="9" s="1"/>
  <c r="K24" i="9" s="1"/>
  <c r="K53" i="9" s="1"/>
  <c r="K58" i="9"/>
  <c r="K59" i="9" s="1"/>
  <c r="CR6" i="6" l="1"/>
  <c r="CR20" i="6" s="1"/>
  <c r="CS4" i="6"/>
  <c r="CS6" i="6" l="1"/>
  <c r="CS20" i="6" s="1"/>
  <c r="CT4" i="6"/>
  <c r="CU4" i="6" l="1"/>
  <c r="CT6" i="6"/>
  <c r="CT20" i="6" s="1"/>
  <c r="CV4" i="6" l="1"/>
  <c r="CU6" i="6"/>
  <c r="CU20" i="6" l="1"/>
  <c r="CX4" i="6"/>
  <c r="L44" i="9" s="1"/>
  <c r="L48" i="9" s="1"/>
  <c r="CV6" i="6"/>
  <c r="CV20" i="6" s="1"/>
  <c r="CW4" i="6"/>
  <c r="CW6" i="6" s="1"/>
  <c r="CW20" i="6" s="1"/>
  <c r="CX6" i="6" l="1"/>
  <c r="CA31" i="8" l="1"/>
  <c r="CX20" i="6"/>
  <c r="J49" i="10" s="1"/>
  <c r="J50" i="10" s="1"/>
  <c r="J51" i="10" s="1"/>
  <c r="J55" i="10" s="1"/>
  <c r="L32" i="9" l="1"/>
  <c r="J58" i="10"/>
  <c r="L65" i="9" l="1"/>
  <c r="L52" i="9" l="1"/>
  <c r="L56" i="9"/>
  <c r="L58" i="9" l="1"/>
  <c r="L59" i="9" s="1"/>
  <c r="L19" i="9"/>
  <c r="L20" i="9" s="1"/>
  <c r="L24" i="9" s="1"/>
  <c r="L53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Unbekannter Autor</author>
  </authors>
  <commentList>
    <comment ref="F3" authorId="0" shapeId="0" xr:uid="{00000000-0006-0000-0200-000001000000}">
      <text>
        <r>
          <rPr>
            <sz val="10"/>
            <rFont val="Calibri"/>
            <family val="2"/>
          </rPr>
          <t>Ausgabefehler Datenbank, daher hier bereits einige beworbene Mitglieder enthalten</t>
        </r>
      </text>
    </comment>
    <comment ref="H3" authorId="0" shapeId="0" xr:uid="{00000000-0006-0000-0200-000002000000}">
      <text>
        <r>
          <rPr>
            <sz val="10"/>
            <rFont val="Calibri"/>
            <family val="2"/>
          </rPr>
          <t>3.484 Geno-Anteile</t>
        </r>
      </text>
    </comment>
    <comment ref="X3" authorId="0" shapeId="0" xr:uid="{00000000-0006-0000-0200-000003000000}">
      <text>
        <r>
          <rPr>
            <sz val="10"/>
            <rFont val="Calibri"/>
            <family val="2"/>
          </rPr>
          <t>Mitgliederkampagne 22.4. – 13.6.</t>
        </r>
      </text>
    </comment>
    <comment ref="F5" authorId="0" shapeId="0" xr:uid="{00000000-0006-0000-0200-000004000000}">
      <text>
        <r>
          <rPr>
            <sz val="10"/>
            <rFont val="Calibri"/>
            <family val="2"/>
          </rPr>
          <t>Ausgabefehler Datenbank, daher hier bereits einige beworbene Mitglieder enthalten</t>
        </r>
      </text>
    </comment>
    <comment ref="D6" authorId="0" shapeId="0" xr:uid="{00000000-0006-0000-0200-000005000000}">
      <text>
        <r>
          <rPr>
            <sz val="10"/>
            <rFont val="Calibri"/>
            <family val="2"/>
          </rPr>
          <t xml:space="preserve">Bezogen auf alle  Mitglieder
</t>
        </r>
      </text>
    </comment>
    <comment ref="D10" authorId="0" shapeId="0" xr:uid="{00000000-0006-0000-0200-000006000000}">
      <text>
        <r>
          <rPr>
            <sz val="10"/>
            <rFont val="Calibri"/>
            <family val="2"/>
          </rPr>
          <t xml:space="preserve">+3% Vormals 135,6 Euro; 
VPI seit 2023&amp;2024 um 10,7 % gestiegen; durchschnittliche Haushaltsausgaben Lebensmittel &amp; alkoholfr. Getränke/Monat 2024: </t>
        </r>
      </text>
    </comment>
    <comment ref="B23" authorId="0" shapeId="0" xr:uid="{00000000-0006-0000-0200-000007000000}">
      <text>
        <r>
          <rPr>
            <sz val="10"/>
            <rFont val="Calibri"/>
            <family val="2"/>
          </rPr>
          <t xml:space="preserve">Helmut:
</t>
        </r>
        <r>
          <rPr>
            <sz val="9"/>
            <color rgb="FF000000"/>
            <rFont val="Tahoma"/>
            <family val="2"/>
            <charset val="1"/>
          </rPr>
          <t>Recherche bei Biogast, ob Rückgabe über sie günstiger ist (David)</t>
        </r>
      </text>
    </comment>
    <comment ref="D23" authorId="0" shapeId="0" xr:uid="{00000000-0006-0000-0200-000008000000}">
      <text>
        <r>
          <rPr>
            <sz val="10"/>
            <rFont val="Calibri"/>
            <family val="2"/>
          </rPr>
          <t xml:space="preserve">von 0,40 % auf 0 % am 27.11.24 ok von David
</t>
        </r>
      </text>
    </comment>
    <comment ref="F28" authorId="0" shapeId="0" xr:uid="{00000000-0006-0000-0200-000009000000}">
      <text>
        <r>
          <rPr>
            <sz val="10"/>
            <rFont val="Calibri"/>
            <family val="2"/>
          </rPr>
          <t>Ausgabefehler Datenbank, daher hier bereits einige Geno-Anteile beworbene Mitglieder enthalten</t>
        </r>
      </text>
    </comment>
    <comment ref="H28" authorId="0" shapeId="0" xr:uid="{00000000-0006-0000-0200-00000A000000}">
      <text>
        <r>
          <rPr>
            <sz val="10"/>
            <rFont val="Calibri"/>
            <family val="2"/>
          </rPr>
          <t>Mehr Geno-Anteile, da Jahresbericht kumuliert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Unbekannter Autor</author>
    <author>User</author>
    <author>michael</author>
  </authors>
  <commentList>
    <comment ref="D4" authorId="0" shapeId="0" xr:uid="{00000000-0006-0000-0300-000001000000}">
      <text>
        <r>
          <rPr>
            <sz val="10"/>
            <rFont val="Calibri"/>
            <family val="2"/>
          </rPr>
          <t xml:space="preserve">Haben wir uns nicht dagegen entschieden
</t>
        </r>
      </text>
    </comment>
    <comment ref="F9" authorId="0" shapeId="0" xr:uid="{00000000-0006-0000-0300-000002000000}">
      <text>
        <r>
          <rPr>
            <sz val="10"/>
            <rFont val="Calibri"/>
            <family val="2"/>
          </rPr>
          <t>5.000 in WAW Digi 25</t>
        </r>
      </text>
    </comment>
    <comment ref="D10" authorId="0" shapeId="0" xr:uid="{00000000-0006-0000-0300-000003000000}">
      <text>
        <r>
          <rPr>
            <sz val="10"/>
            <rFont val="Calibri"/>
            <family val="2"/>
          </rPr>
          <t>Wo sollen Lizenzkosten abgebildet werden? L
Laufen ab 09/25</t>
        </r>
      </text>
    </comment>
    <comment ref="AF11" authorId="0" shapeId="0" xr:uid="{00000000-0006-0000-0300-000004000000}">
      <text>
        <r>
          <rPr>
            <sz val="10"/>
            <rFont val="Calibri"/>
            <family val="2"/>
          </rPr>
          <t>25.000 Joel, 9500 LotzApp
5500 Hardware schon bezahlt
1000 DSGVO</t>
        </r>
      </text>
    </comment>
    <comment ref="D26" authorId="0" shapeId="0" xr:uid="{00000000-0006-0000-0300-000005000000}">
      <text>
        <r>
          <rPr>
            <sz val="10"/>
            <rFont val="Calibri"/>
            <family val="2"/>
          </rPr>
          <t>Gekürzt RC2 Einbruchssicherer raus 
-5000 Euro</t>
        </r>
      </text>
    </comment>
    <comment ref="AA26" authorId="1" shapeId="0" xr:uid="{00000000-0006-0000-0300-000006000000}">
      <text>
        <r>
          <rPr>
            <sz val="10"/>
            <rFont val="Calibri"/>
            <family val="2"/>
          </rPr>
          <t xml:space="preserve">User:
</t>
        </r>
        <r>
          <rPr>
            <sz val="9"/>
            <color rgb="FF000000"/>
            <rFont val="Segoe UI"/>
            <family val="2"/>
            <charset val="1"/>
          </rPr>
          <t>Bernd Binder- richtig zugeordnet?</t>
        </r>
      </text>
    </comment>
    <comment ref="D32" authorId="0" shapeId="0" xr:uid="{00000000-0006-0000-0300-000007000000}">
      <text>
        <r>
          <rPr>
            <sz val="10"/>
            <rFont val="Calibri"/>
            <family val="2"/>
          </rPr>
          <t xml:space="preserve">
Kommentar:
    Eigenleistung</t>
        </r>
      </text>
    </comment>
    <comment ref="D46" authorId="0" shapeId="0" xr:uid="{00000000-0006-0000-0300-000008000000}">
      <text>
        <r>
          <rPr>
            <sz val="10"/>
            <rFont val="Calibri"/>
            <family val="2"/>
          </rPr>
          <t>2. Convenipack mit 25.000 ergänzt</t>
        </r>
      </text>
    </comment>
    <comment ref="D50" authorId="0" shapeId="0" xr:uid="{00000000-0006-0000-0300-000009000000}">
      <text>
        <r>
          <rPr>
            <sz val="10"/>
            <rFont val="Calibri"/>
            <family val="2"/>
          </rPr>
          <t>Übernahme Umplanung 1.OG Vermieter
3.450 Euro</t>
        </r>
      </text>
    </comment>
    <comment ref="D55" authorId="0" shapeId="0" xr:uid="{00000000-0006-0000-0300-00000A000000}">
      <text>
        <r>
          <rPr>
            <sz val="10"/>
            <rFont val="Calibri"/>
            <family val="2"/>
          </rPr>
          <t>Aufträge KBG Heizung fehlen hier noch</t>
        </r>
      </text>
    </comment>
    <comment ref="D56" authorId="0" shapeId="0" xr:uid="{00000000-0006-0000-0300-00000B000000}">
      <text>
        <r>
          <rPr>
            <sz val="10"/>
            <rFont val="Calibri"/>
            <family val="2"/>
          </rPr>
          <t xml:space="preserve">Abschlags- zahlung an Markus Sarg und Planung HKLS, dürfte sich reduzieren
</t>
        </r>
      </text>
    </comment>
    <comment ref="AG71" authorId="2" shapeId="0" xr:uid="{00000000-0006-0000-0300-00000C000000}">
      <text>
        <r>
          <rPr>
            <sz val="10"/>
            <rFont val="Calibri"/>
            <family val="2"/>
          </rPr>
          <t xml:space="preserve">heidi: Email 5.2.2026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Unbekannter Autor</author>
  </authors>
  <commentList>
    <comment ref="E7" authorId="0" shapeId="0" xr:uid="{00000000-0006-0000-0400-000001000000}">
      <text>
        <r>
          <rPr>
            <sz val="10"/>
            <rFont val="Calibri"/>
            <family val="2"/>
          </rPr>
          <t>19.950 abzgl. 2.520 Akonto</t>
        </r>
      </text>
    </comment>
    <comment ref="E10" authorId="0" shapeId="0" xr:uid="{00000000-0006-0000-0400-000002000000}">
      <text>
        <r>
          <rPr>
            <sz val="10"/>
            <rFont val="Calibri"/>
            <family val="2"/>
          </rPr>
          <t>Rampenkosten Netto 1.810 Euro; Förderung für Bruttokosten</t>
        </r>
      </text>
    </comment>
    <comment ref="B18" authorId="0" shapeId="0" xr:uid="{00000000-0006-0000-0400-000003000000}">
      <text>
        <r>
          <rPr>
            <sz val="10"/>
            <rFont val="Calibri"/>
            <family val="2"/>
          </rPr>
          <t xml:space="preserve">Unwahrscheinlich daher auf 0 als Platzhalter belassen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Unbekannter Autor</author>
  </authors>
  <commentList>
    <comment ref="AC5" authorId="0" shapeId="0" xr:uid="{00000000-0006-0000-0500-000001000000}">
      <text>
        <r>
          <rPr>
            <sz val="10"/>
            <rFont val="Calibri"/>
            <family val="2"/>
          </rPr>
          <t>DK aufzustellen, Kosten Verschiebung Zeitschiene um einen Monat</t>
        </r>
      </text>
    </comment>
    <comment ref="AF5" authorId="0" shapeId="0" xr:uid="{00000000-0006-0000-0500-000002000000}">
      <text>
        <r>
          <rPr>
            <sz val="10"/>
            <rFont val="Calibri"/>
            <family val="2"/>
          </rPr>
          <t>DK Joel</t>
        </r>
      </text>
    </comment>
    <comment ref="E6" authorId="0" shapeId="0" xr:uid="{00000000-0006-0000-0500-000003000000}">
      <text>
        <r>
          <rPr>
            <sz val="10"/>
            <rFont val="Calibri"/>
            <family val="2"/>
          </rPr>
          <t>Durchschnittswert</t>
        </r>
      </text>
    </comment>
    <comment ref="D8" authorId="0" shapeId="0" xr:uid="{00000000-0006-0000-0500-000004000000}">
      <text>
        <r>
          <rPr>
            <sz val="10"/>
            <rFont val="Calibri"/>
            <family val="2"/>
          </rPr>
          <t>lt. Vertrag zur Verfügung gestellt</t>
        </r>
      </text>
    </comment>
    <comment ref="E17" authorId="0" shapeId="0" xr:uid="{00000000-0006-0000-0500-000005000000}">
      <text>
        <r>
          <rPr>
            <sz val="10"/>
            <rFont val="Calibri"/>
            <family val="2"/>
          </rPr>
          <t>Eurobor 2.5. 2,142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Unbekannter Autor</author>
  </authors>
  <commentList>
    <comment ref="W10" authorId="0" shapeId="0" xr:uid="{00000000-0006-0000-0600-000001000000}">
      <text>
        <r>
          <rPr>
            <sz val="10"/>
            <rFont val="Calibri"/>
            <family val="2"/>
          </rPr>
          <t>Entgegenkommen Vermieter</t>
        </r>
      </text>
    </comment>
    <comment ref="X12" authorId="0" shapeId="0" xr:uid="{00000000-0006-0000-0600-000002000000}">
      <text>
        <r>
          <rPr>
            <sz val="10"/>
            <rFont val="Calibri"/>
            <family val="2"/>
          </rPr>
          <t>Behördengebühren inkl. Verkehrsschild Ladezone</t>
        </r>
      </text>
    </comment>
    <comment ref="Z12" authorId="0" shapeId="0" xr:uid="{00000000-0006-0000-0600-000003000000}">
      <text>
        <r>
          <rPr>
            <sz val="10"/>
            <rFont val="Calibri"/>
            <family val="2"/>
          </rPr>
          <t>MA 6</t>
        </r>
      </text>
    </comment>
    <comment ref="Z17" authorId="0" shapeId="0" xr:uid="{00000000-0006-0000-0600-000004000000}">
      <text>
        <r>
          <rPr>
            <sz val="10"/>
            <rFont val="Calibri"/>
            <family val="2"/>
          </rPr>
          <t xml:space="preserve">Etc. 
Trockner, verschoben aus Investitionen
</t>
        </r>
      </text>
    </comment>
    <comment ref="B19" authorId="0" shapeId="0" xr:uid="{00000000-0006-0000-0600-000005000000}">
      <text>
        <r>
          <rPr>
            <sz val="10"/>
            <rFont val="Calibri"/>
            <family val="2"/>
          </rPr>
          <t xml:space="preserve">Wartung Reinigungsmaschine: 200,-/Jahr (Recherche Milena)
</t>
        </r>
      </text>
    </comment>
    <comment ref="X19" authorId="0" shapeId="0" xr:uid="{00000000-0006-0000-0600-000006000000}">
      <text>
        <r>
          <rPr>
            <sz val="10"/>
            <rFont val="Calibri"/>
            <family val="2"/>
          </rPr>
          <t>Mulde, Mitbautage</t>
        </r>
      </text>
    </comment>
    <comment ref="B21" authorId="0" shapeId="0" xr:uid="{00000000-0006-0000-0600-000007000000}">
      <text>
        <r>
          <rPr>
            <sz val="10"/>
            <rFont val="Calibri"/>
            <family val="2"/>
          </rPr>
          <t xml:space="preserve">Reinigungsmittel f Maschine ca 50,-/Mo (Recherche Milena)
</t>
        </r>
      </text>
    </comment>
    <comment ref="C24" authorId="0" shapeId="0" xr:uid="{00000000-0006-0000-0600-000008000000}">
      <text>
        <r>
          <rPr>
            <sz val="10"/>
            <rFont val="Calibri"/>
            <family val="2"/>
          </rPr>
          <t>Daikin 5.220 ohne 24h Störungsdienst</t>
        </r>
      </text>
    </comment>
    <comment ref="B25" authorId="0" shapeId="0" xr:uid="{00000000-0006-0000-0600-000009000000}">
      <text>
        <r>
          <rPr>
            <sz val="10"/>
            <rFont val="Calibri"/>
            <family val="2"/>
          </rPr>
          <t>Im Mietvertrag stehen 846m2
Und lt. Kältetechnik werden wir einen Jahresverbrauch von 146.025 kWh haben</t>
        </r>
      </text>
    </comment>
    <comment ref="B26" authorId="0" shapeId="0" xr:uid="{00000000-0006-0000-0600-00000A000000}">
      <text>
        <r>
          <rPr>
            <sz val="10"/>
            <rFont val="Calibri"/>
            <family val="2"/>
          </rPr>
          <t>Lt. Julianna am 12.7.2</t>
        </r>
        <r>
          <rPr>
            <b/>
            <sz val="9"/>
            <color rgb="FF000000"/>
            <rFont val="Segoe UI"/>
            <family val="2"/>
            <charset val="1"/>
          </rPr>
          <t xml:space="preserve">1
</t>
        </r>
      </text>
    </comment>
    <comment ref="B28" authorId="0" shapeId="0" xr:uid="{00000000-0006-0000-0600-00000B000000}">
      <text>
        <r>
          <rPr>
            <sz val="10"/>
            <rFont val="Calibri"/>
            <family val="2"/>
          </rPr>
          <t>Quelle: FRIEDENREICH &amp; NILSSON Versicherungsmakler GmbH, Hr. Schmalzer
(Detailliertes Angebot liegt vor)
Gebäude und Ware, Einbruch-Diebstahl, Glasbruch, Haftpflicht</t>
        </r>
      </text>
    </comment>
    <comment ref="B29" authorId="0" shapeId="0" xr:uid="{00000000-0006-0000-0600-00000C000000}">
      <text>
        <r>
          <rPr>
            <sz val="10"/>
            <rFont val="Calibri"/>
            <family val="2"/>
          </rPr>
          <t>Abgestimmt in Meeting am 12.7.21
revidiert am 12.02.24</t>
        </r>
      </text>
    </comment>
    <comment ref="B42" authorId="0" shapeId="0" xr:uid="{00000000-0006-0000-0600-00000D000000}">
      <text>
        <r>
          <rPr>
            <sz val="10"/>
            <rFont val="Calibri"/>
            <family val="2"/>
          </rPr>
          <t>Wozu diese Zeile?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Julianna Fehlinger</author>
    <author>Unbekannter Autor</author>
  </authors>
  <commentList>
    <comment ref="AK4" authorId="0" shapeId="0" xr:uid="{00000000-0006-0000-0700-000001000000}">
      <text>
        <r>
          <rPr>
            <sz val="10"/>
            <rFont val="Calibri"/>
            <family val="2"/>
          </rPr>
          <t xml:space="preserve">Julianna Fehlinger:
</t>
        </r>
        <r>
          <rPr>
            <sz val="9"/>
            <color rgb="FF000000"/>
            <rFont val="Segoe UI"/>
            <family val="2"/>
            <charset val="1"/>
          </rPr>
          <t xml:space="preserve">Summe der Liquiden Mitteln auf den Bankkonten
inkl der Guthaben auf Mitgliederkarten
</t>
        </r>
      </text>
    </comment>
    <comment ref="B12" authorId="1" shapeId="0" xr:uid="{00000000-0006-0000-0700-000002000000}">
      <text>
        <r>
          <rPr>
            <sz val="10"/>
            <rFont val="Calibri"/>
            <family val="2"/>
          </rPr>
          <t>Einmalig bleibt bestehen</t>
        </r>
      </text>
    </comment>
    <comment ref="B15" authorId="1" shapeId="0" xr:uid="{00000000-0006-0000-0700-000003000000}">
      <text>
        <r>
          <rPr>
            <sz val="10"/>
            <rFont val="Calibri"/>
            <family val="2"/>
          </rPr>
          <t>USt. Noch nirgends abgebildet</t>
        </r>
      </text>
    </comment>
    <comment ref="S15" authorId="1" shapeId="0" xr:uid="{00000000-0006-0000-0700-000004000000}">
      <text>
        <r>
          <rPr>
            <sz val="10"/>
            <rFont val="Calibri"/>
            <family val="2"/>
          </rPr>
          <t>Inkl. Verrechnung Anteil Umplanung von Vermieter/B-Pro</t>
        </r>
      </text>
    </comment>
    <comment ref="B16" authorId="1" shapeId="0" xr:uid="{00000000-0006-0000-0700-000005000000}">
      <text>
        <r>
          <rPr>
            <sz val="10"/>
            <rFont val="Calibri"/>
            <family val="2"/>
          </rPr>
          <t>USt. Noch nirgends abgebildet</t>
        </r>
      </text>
    </comment>
    <comment ref="AD16" authorId="1" shapeId="0" xr:uid="{00000000-0006-0000-0700-000006000000}">
      <text>
        <r>
          <rPr>
            <sz val="10"/>
            <rFont val="Calibri"/>
            <family val="2"/>
          </rPr>
          <t xml:space="preserve">Verrechnung: vom Minimarkt für Davids Gehalt
</t>
        </r>
      </text>
    </comment>
    <comment ref="AD22" authorId="1" shapeId="0" xr:uid="{00000000-0006-0000-0700-000007000000}">
      <text>
        <r>
          <rPr>
            <sz val="10"/>
            <rFont val="Calibri"/>
            <family val="2"/>
          </rPr>
          <t>Einmalig Schnelldreher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Unbekannter Autor</author>
  </authors>
  <commentList>
    <comment ref="B52" authorId="0" shapeId="0" xr:uid="{00000000-0006-0000-0900-000001000000}">
      <text>
        <r>
          <rPr>
            <sz val="10"/>
            <rFont val="Calibri"/>
            <family val="2"/>
          </rPr>
          <t xml:space="preserve">Helmut:
</t>
        </r>
        <r>
          <rPr>
            <sz val="9"/>
            <color rgb="FF000000"/>
            <rFont val="Tahoma"/>
            <family val="2"/>
            <charset val="1"/>
          </rPr>
          <t>Förderungen, Zuschüsse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Julianna Fehlinger</author>
  </authors>
  <commentList>
    <comment ref="K25" authorId="0" shapeId="0" xr:uid="{00000000-0006-0000-0100-000001000000}">
      <text>
        <r>
          <rPr>
            <sz val="10"/>
            <rFont val="Calibri"/>
            <family val="2"/>
          </rPr>
          <t xml:space="preserve">Julianna Fehlinger:
</t>
        </r>
        <r>
          <rPr>
            <sz val="9"/>
            <color rgb="FF000000"/>
            <rFont val="Segoe UI"/>
            <family val="2"/>
            <charset val="1"/>
          </rPr>
          <t>Hier muss ein Fehler sein</t>
        </r>
      </text>
    </comment>
  </commentList>
</comments>
</file>

<file path=xl/sharedStrings.xml><?xml version="1.0" encoding="utf-8"?>
<sst xmlns="http://schemas.openxmlformats.org/spreadsheetml/2006/main" count="1441" uniqueCount="858">
  <si>
    <t>Kontonummer</t>
  </si>
  <si>
    <t>Kontoname</t>
  </si>
  <si>
    <t>Soll</t>
  </si>
  <si>
    <t>Haben</t>
  </si>
  <si>
    <t>gedruckt am 4.3.2026</t>
  </si>
  <si>
    <t>Umsatzerlöse 20%</t>
  </si>
  <si>
    <t>Aufwendungen für das Ingangsetzen und Erweitern eines Betriebes</t>
  </si>
  <si>
    <t>Kumulierte Abschreibungen</t>
  </si>
  <si>
    <t>Konzessionen</t>
  </si>
  <si>
    <t>Patentrechte und Lizenzen</t>
  </si>
  <si>
    <t>Datenverarbeitungsprogramme</t>
  </si>
  <si>
    <t>Geringwertige Datenverarbeitungsprogramme</t>
  </si>
  <si>
    <t>Kumulierte Abschreibung Datenverarbeitungsprogramme</t>
  </si>
  <si>
    <t>Marken, Warenzeichen und Musterschutzrechte, sonstige Urheberrechte</t>
  </si>
  <si>
    <t>Pacht- und Mietrechte</t>
  </si>
  <si>
    <t>Geschäfts(Firmen)wert</t>
  </si>
  <si>
    <t>Geleistete Anzahlungen</t>
  </si>
  <si>
    <t>Unbebaute Grundstücke</t>
  </si>
  <si>
    <t>Bebaute Grundstücke (Grundwert)</t>
  </si>
  <si>
    <t>Grundstücksgleiche Rechte</t>
  </si>
  <si>
    <t>Betriebs- und Geschäftsgebäude auf eigenem Grund</t>
  </si>
  <si>
    <t>Wohn- und Sozialgebäude auf eigenem Grund</t>
  </si>
  <si>
    <t>Betriebs- und Geschäftsgebäude auf fremdem Grund</t>
  </si>
  <si>
    <t>Wohn- und Sozialgebäude auf fremdem Grund</t>
  </si>
  <si>
    <t>Grundstückseinrichtungen auf eigenem Grund</t>
  </si>
  <si>
    <t>Grundstückseinrichtungen auf fremdem Grund</t>
  </si>
  <si>
    <t>Bauliche Investitionen in fremden (gepachteten) Betriebs- und Geschäftsgebäuden</t>
  </si>
  <si>
    <t>Bauliche Investitionen in fremden (gepachteten) Wohn- und Sozialgebäuden</t>
  </si>
  <si>
    <t>Fertigungsmaschinen</t>
  </si>
  <si>
    <t>Antriebsmaschinen</t>
  </si>
  <si>
    <t>Energieversorgungsanlagen</t>
  </si>
  <si>
    <t>Transportanlagen</t>
  </si>
  <si>
    <t>Maschinenwerkzeuge</t>
  </si>
  <si>
    <t>Allgemeine Werkzeuge und Handwerkzeuge</t>
  </si>
  <si>
    <t>Vorrichtungen, Formen und Modelle</t>
  </si>
  <si>
    <t>Andere Erzeugungshilfsmittel</t>
  </si>
  <si>
    <t>Hebezeuge und Montageanlagen</t>
  </si>
  <si>
    <t>Geringwertige Vermögensgegenstände, soweit im Erzeugungsprozeß verwende</t>
  </si>
  <si>
    <t>Betriebs- und Geschäftsausstattung</t>
  </si>
  <si>
    <t>Nachrichten- und Kontrollanlagen</t>
  </si>
  <si>
    <t>Büromaschinen, EDV-Anlagen</t>
  </si>
  <si>
    <t>PKW</t>
  </si>
  <si>
    <t>LKW</t>
  </si>
  <si>
    <t>Andere Beförderungsmittel</t>
  </si>
  <si>
    <t>kumulierte Abschreibungen zu andere Anlagen</t>
  </si>
  <si>
    <t>Andere Betriebs- und Geschäftsausstattung</t>
  </si>
  <si>
    <t>Gebinde</t>
  </si>
  <si>
    <t>geringwertige Vermögensgegenstände, soweit nicht im Erzeugungsprozess verwendet</t>
  </si>
  <si>
    <t>Geringwertige Betriebs- und Geschäftsausstattung</t>
  </si>
  <si>
    <t>kumulierte Abschreibungen zu Betriebs- und Geschäftsausstattung</t>
  </si>
  <si>
    <t>Kumulierte Abschreibungen zu Büromaschinen, EDV-Anlagen</t>
  </si>
  <si>
    <t>Kumulierte Abschreibungen zu PKW und Kombis</t>
  </si>
  <si>
    <t>Kumulierte Abschreibungen zu LKW</t>
  </si>
  <si>
    <t>Kumulierte Abschreibungen zur Betriebs- und Geschäftsausstattung</t>
  </si>
  <si>
    <t>Anlagen in Bau</t>
  </si>
  <si>
    <t>Anteile an verbundenen Unternehmen</t>
  </si>
  <si>
    <t>Beteiligungen an Gemeinschaftsunternehmen</t>
  </si>
  <si>
    <t>Beteiligungen an angeschlossenen (assoziierten) Unternehmen</t>
  </si>
  <si>
    <t>Sonstige Beteiligungen</t>
  </si>
  <si>
    <t>Ausleihungen an verbundene Unternehmen</t>
  </si>
  <si>
    <t>Ausleihungen an Unternehmen, mit denen ein Beteiligungsverhältnis besteht</t>
  </si>
  <si>
    <t>Sonstige Ausleihungen</t>
  </si>
  <si>
    <t>Anteile an Kapitalgesellschaften ohne Beteiligungscharakter</t>
  </si>
  <si>
    <t>Anteile an Personengesellschaften ohne Beteiligungscharakter</t>
  </si>
  <si>
    <t>Genossenschaftsanteile ohne Beteiligungscharakter</t>
  </si>
  <si>
    <t>Anteile an Investmentfonds</t>
  </si>
  <si>
    <t>Handelswaren</t>
  </si>
  <si>
    <t>Forderungen aus Lieferungen und Leistungen Inland</t>
  </si>
  <si>
    <t>Forderungen aus Lieferungen und Leistungen Inland Abgrenzung</t>
  </si>
  <si>
    <t>Mila Mitmach-Supermarkt Genossenschaft Verrechnungskonto</t>
  </si>
  <si>
    <t>Forderung Genossenschaftsanteile</t>
  </si>
  <si>
    <t>Forderungen von Partnern (Point Of Sale - Bank Zahlung)</t>
  </si>
  <si>
    <t>Forderungen von Partnern (Point Of Sale)</t>
  </si>
  <si>
    <t>Sonstige Forderungen</t>
  </si>
  <si>
    <t xml:space="preserve">Forderung KÖST und KEST </t>
  </si>
  <si>
    <t>Vorsteuer 20%</t>
  </si>
  <si>
    <t xml:space="preserve">Vorsteuern IGE 20%	</t>
  </si>
  <si>
    <t>Vorsteuern RC EU 20%</t>
  </si>
  <si>
    <t>Vorsteuern 10%</t>
  </si>
  <si>
    <t xml:space="preserve">Vorsteuern IGE 10%	</t>
  </si>
  <si>
    <t xml:space="preserve">Vorsteuern 13%	</t>
  </si>
  <si>
    <t>Vorsteuer in Folgeperioden</t>
  </si>
  <si>
    <t>Hauptkassa 3</t>
  </si>
  <si>
    <t>Hauptkassa 1</t>
  </si>
  <si>
    <t>Hauptkassa 2</t>
  </si>
  <si>
    <t>RKSV Kassa 3</t>
  </si>
  <si>
    <t xml:space="preserve">RKSV 1 (Wechselgeld) </t>
  </si>
  <si>
    <t>RKVS 2 (Wechselgeld)</t>
  </si>
  <si>
    <t>Erste Bank</t>
  </si>
  <si>
    <t>Erste Bank Debitkonto</t>
  </si>
  <si>
    <t xml:space="preserve"> Erste Bank Umbaukonto</t>
  </si>
  <si>
    <t xml:space="preserve"> Erste Bank Tagesgeldkonto</t>
  </si>
  <si>
    <t>Erste Bank Festgeldkonto</t>
  </si>
  <si>
    <t>Hypo Bank Festgeldkonto</t>
  </si>
  <si>
    <t>Hypo Bank</t>
  </si>
  <si>
    <t>ARA</t>
  </si>
  <si>
    <t>Sonstige Rückstellungen</t>
  </si>
  <si>
    <t>Rückstellung für Sonderzahlungen</t>
  </si>
  <si>
    <t>Verbindlichkeiten aus Lieferungen und Leistungen Inland</t>
  </si>
  <si>
    <t>sonstige Verbindlichkeiten</t>
  </si>
  <si>
    <t>Verbindlichkeiten aus Lieferungen und Leistungen EU</t>
  </si>
  <si>
    <t>Umsatzsteuer 20%</t>
  </si>
  <si>
    <t>Umsatzsteuer IGE 20%</t>
  </si>
  <si>
    <t>Umsatzsteuer RC EU 20%</t>
  </si>
  <si>
    <t>Umsatzsteuer Zahllast</t>
  </si>
  <si>
    <t>Umsatzsteuer Zahllast Vorperiode</t>
  </si>
  <si>
    <t>Verrechnungskonto Finanzamt</t>
  </si>
  <si>
    <t>Umsatzsteuer 10%</t>
  </si>
  <si>
    <t>Umsatzsteuer IGE 10%</t>
  </si>
  <si>
    <t>Verr. Kto. Lst, DB, DZ</t>
  </si>
  <si>
    <t>Verr. Kto. KommSt. und DGA</t>
  </si>
  <si>
    <t>Verr. Kto. Sozialversicherung</t>
  </si>
  <si>
    <t>Verr. Kto. Löhne/Gehälter</t>
  </si>
  <si>
    <t>Darlehen Erste Bank</t>
  </si>
  <si>
    <t>Nachrangdarlehen</t>
  </si>
  <si>
    <t>Dahrlehen sonstige</t>
  </si>
  <si>
    <t>Schwebende Geldbewegungen</t>
  </si>
  <si>
    <t>Schwebende Geldbewegungen Mitglieder</t>
  </si>
  <si>
    <t>PRA</t>
  </si>
  <si>
    <t>Kundenmitgliedkarte-Guthaben</t>
  </si>
  <si>
    <t>Geschenkgutscheine</t>
  </si>
  <si>
    <t>Warengutscheine</t>
  </si>
  <si>
    <t>Umsatzerlöse aus Weiterverrechnung (20%)</t>
  </si>
  <si>
    <t>Umsatzerlöse 10 %</t>
  </si>
  <si>
    <t>Umsatzerlöse 13%</t>
  </si>
  <si>
    <t>Erlöse aus Mieteinnahmen 20%</t>
  </si>
  <si>
    <t xml:space="preserve">sonstige Umsätze </t>
  </si>
  <si>
    <t>Umsatzerlöse PFAND 0%</t>
  </si>
  <si>
    <t>Mitgliedsbeiträge</t>
  </si>
  <si>
    <t>Spenden</t>
  </si>
  <si>
    <t>Öffentliche Zuschüsse</t>
  </si>
  <si>
    <t>Bestandsveränderung</t>
  </si>
  <si>
    <t>Erträge aus der Auflösung von Rückstellungen</t>
  </si>
  <si>
    <t>Centdifferenz</t>
  </si>
  <si>
    <t>Übrige sonstige betriebliche Erträge aus Auflösung Investzuschüsse</t>
  </si>
  <si>
    <t>Übrige sonstige betriebliche Erträge aus Zuschüssen für Aufwendungen</t>
  </si>
  <si>
    <t>Eigenverbrauch 20 %</t>
  </si>
  <si>
    <t>Eigenverbrauch 10 %</t>
  </si>
  <si>
    <t>Eigenverbrauch 13 %</t>
  </si>
  <si>
    <t>Wareneinkauf 20%</t>
  </si>
  <si>
    <t>Wareneinkauf Pfand</t>
  </si>
  <si>
    <t>Wareneinkauf 10 %</t>
  </si>
  <si>
    <t>Wareneinkauf 13 %</t>
  </si>
  <si>
    <t>Wareneinkauf 0 %</t>
  </si>
  <si>
    <t>Umsatzboni</t>
  </si>
  <si>
    <t>Wareneinkauf ig. Erwerb 10 %  (mit VSt)</t>
  </si>
  <si>
    <t>Wareneinkauf ig. Erwerb 20 %  (mit VSt)</t>
  </si>
  <si>
    <t>Verpackungsmaterial</t>
  </si>
  <si>
    <t>Verbrauchsmaterial</t>
  </si>
  <si>
    <t>Sonstige Leistungen EU 20 % Reverse Charge</t>
  </si>
  <si>
    <t>Skontoerträge 20%</t>
  </si>
  <si>
    <t>Skontoertrag 10 %</t>
  </si>
  <si>
    <t>Skontoertrag 13 %</t>
  </si>
  <si>
    <t>Gehälter (Angestellte)</t>
  </si>
  <si>
    <t>Lehrlingseinkommen (Angestellte)</t>
  </si>
  <si>
    <t>Überstunden (Angestellte)</t>
  </si>
  <si>
    <t>Zulagen (Angestellte)</t>
  </si>
  <si>
    <t>Prämien und Provisionen (Angestellte)</t>
  </si>
  <si>
    <t>Sonderzahlungen (Angestellte)</t>
  </si>
  <si>
    <t>Urlaubsabfindung (Angestellte)</t>
  </si>
  <si>
    <t>Jubiläumsaufwendungen (Angestellte)</t>
  </si>
  <si>
    <t>freiwillige Fahrt- und Verpflegungszuschüsse</t>
  </si>
  <si>
    <t>Sachbezug (Angestellte)</t>
  </si>
  <si>
    <t>Sachbezug (Geschäftsführer)</t>
  </si>
  <si>
    <t>Urlaubsersatzleistungen/-ablösen (Angestellte)</t>
  </si>
  <si>
    <t>Grundgehälter (Überstunden)</t>
  </si>
  <si>
    <t>Gehälter (Überstundenzuschläge)</t>
  </si>
  <si>
    <t>Veränderung noch nicht konsumierter Urlaub</t>
  </si>
  <si>
    <t>Beiträge für betriebliche Mitarbeitervorsorgekasse</t>
  </si>
  <si>
    <t>Gesetzlicher Sozialaufwand</t>
  </si>
  <si>
    <t>gesetzlicher Sozialaufwand (Angestellte)</t>
  </si>
  <si>
    <t>Dienstgeberbeitrag (Angestellte)</t>
  </si>
  <si>
    <t>Dienstgeberzuschlag (Arbeiter)</t>
  </si>
  <si>
    <t>Dienstgeberzuschlag (Angestellte)</t>
  </si>
  <si>
    <t>Kommunalsteuer (Angestellte)</t>
  </si>
  <si>
    <t>Wiener Dienstgeberabgabe (U-Bahn Angestellte)</t>
  </si>
  <si>
    <t>Kommunalsteuer (KoSt)</t>
  </si>
  <si>
    <t>Dienstgeberbeitrag zum Familienlastenausgleichsfonds (DB)</t>
  </si>
  <si>
    <t>Zuschlag zum Dienstnehmerbeitrag (DZ)</t>
  </si>
  <si>
    <t>Dienstgeberabgabe der Gemeinde Wien (U-Bahn Steuer)</t>
  </si>
  <si>
    <t>Sonstiger freiwilliger Sozialaufwand</t>
  </si>
  <si>
    <t>Aufwandsstellenrechnung</t>
  </si>
  <si>
    <t>Abschreibungen auf aktivierte Aufwendungen für das Ingangsetzen und Erweitern eines Betriebes</t>
  </si>
  <si>
    <t>Abschreibungen auf Sachanlagen</t>
  </si>
  <si>
    <t>Sofortabschreibungen auf geringwertige Sachanlagen</t>
  </si>
  <si>
    <t>Sonstige Steuern (Biersteuer)</t>
  </si>
  <si>
    <t>Sonstige Gebühren und Abgaben</t>
  </si>
  <si>
    <t>Instandhaltung</t>
  </si>
  <si>
    <t>Software Wartung</t>
  </si>
  <si>
    <t>Reinigung durch Dritte</t>
  </si>
  <si>
    <t>Reinigungsmaterial</t>
  </si>
  <si>
    <t>Strom</t>
  </si>
  <si>
    <t>Heizung, Gas, Energie</t>
  </si>
  <si>
    <t>Fahrkosten</t>
  </si>
  <si>
    <t>Internet</t>
  </si>
  <si>
    <t>Mobiltelefon</t>
  </si>
  <si>
    <t>Postgebühren</t>
  </si>
  <si>
    <t>Mietaufwand unbewegliche Wirtschaftsgüter 20 %</t>
  </si>
  <si>
    <t>Provisionen an Dritte</t>
  </si>
  <si>
    <t>Büromaterial und Drucksorten</t>
  </si>
  <si>
    <t>Druckerzeugnisse und Vervielfältigung</t>
  </si>
  <si>
    <t>Fachliteratur und Zeitungen</t>
  </si>
  <si>
    <t>Bewirtungsaufwand</t>
  </si>
  <si>
    <t>Werbung</t>
  </si>
  <si>
    <t>Inserate und Prospekte</t>
  </si>
  <si>
    <t>Messen und Ausstellungen</t>
  </si>
  <si>
    <t>Dekorationsmaterial</t>
  </si>
  <si>
    <t>Strafen</t>
  </si>
  <si>
    <t>Säumnis- und Verspätungszuschläge</t>
  </si>
  <si>
    <t>Sachversicherungen</t>
  </si>
  <si>
    <t>Unfallversicherungen</t>
  </si>
  <si>
    <t>Steuerberatungsaufwand</t>
  </si>
  <si>
    <t>geleistete Honorare</t>
  </si>
  <si>
    <t>Rechts- und Beratungsaufwand</t>
  </si>
  <si>
    <t>Buchhaltungsaufwand</t>
  </si>
  <si>
    <t>Lohnverrechnungsaufwand</t>
  </si>
  <si>
    <t xml:space="preserve">Prüfungsaufwand Revisionsverband </t>
  </si>
  <si>
    <t>Spesen des Geldverkehrs</t>
  </si>
  <si>
    <t>Spesen des Geldverkehrs Bankgarantie</t>
  </si>
  <si>
    <t>Transaktionskosten bargeldloser Zahlungsverkehr</t>
  </si>
  <si>
    <t>Schadensfälle im Lager</t>
  </si>
  <si>
    <t>Sonstige Schadensfälle</t>
  </si>
  <si>
    <t>Sonstige betriebliche Aufwendungen</t>
  </si>
  <si>
    <t>Zinserträge aus Bankguthaben</t>
  </si>
  <si>
    <t>Zinsaufwand</t>
  </si>
  <si>
    <t xml:space="preserve"> Zinsen und ähnliche Aufwendungen (andere)</t>
  </si>
  <si>
    <t>Körperschaftsteuer</t>
  </si>
  <si>
    <t>Kapitalertragsteuer</t>
  </si>
  <si>
    <t>Jahresfehlbetrag</t>
  </si>
  <si>
    <t>Kapital</t>
  </si>
  <si>
    <t>Geschäftsftsanteile Mitglieder</t>
  </si>
  <si>
    <t>Zuschuss Geschäftsbelebung</t>
  </si>
  <si>
    <t>Zuschuss Nahversorgung</t>
  </si>
  <si>
    <t>Zuschuss Nahversorgung Energie</t>
  </si>
  <si>
    <t>Zuschuss Nahversorgung - Digitalisierung/19 - 21</t>
  </si>
  <si>
    <t>Zuschuss Barrierefrei Unternehmen</t>
  </si>
  <si>
    <t>Zuschuss Digitalisierung f. zukunftsfähige Genossenschaft</t>
  </si>
  <si>
    <t>Ergebnisvortrag aus Vorjahren</t>
  </si>
  <si>
    <t>Jahresergebnis</t>
  </si>
  <si>
    <t>Nicht eingeforderte ausstehende Einlagen</t>
  </si>
  <si>
    <t>Bilanzgewinn (-verlust)</t>
  </si>
  <si>
    <t>Sonderausgaben, außergewöhnliche Belastungen</t>
  </si>
  <si>
    <t>Eröffnungsbilanz</t>
  </si>
  <si>
    <t>Schlussbilanz</t>
  </si>
  <si>
    <t>Gewinn aktuelles Jahr (ausgegliedertes Gegenkonto GuV)</t>
  </si>
  <si>
    <t>Verlust aktuelles Jahr (ausgegliedertes Gegenkonto GuV)</t>
  </si>
  <si>
    <t>Kassendifferenz Verlust</t>
  </si>
  <si>
    <t>Kassendifferenz Gewinn</t>
  </si>
  <si>
    <t>Saldenliste MILA Mitmach-Supermarkt e.G., 01.02.2023</t>
  </si>
  <si>
    <t>bis 31.01.2024</t>
  </si>
  <si>
    <t>bis 31.01.2025</t>
  </si>
  <si>
    <t>bis 31.07.2025</t>
  </si>
  <si>
    <t>bis 31.01.2026</t>
  </si>
  <si>
    <t>gedruckt am 14.03.2024</t>
  </si>
  <si>
    <t>gedruckt am 29.4.2025</t>
  </si>
  <si>
    <t>gedruckt am 06.08.2025</t>
  </si>
  <si>
    <t>gedruckt am 4.03.2026</t>
  </si>
  <si>
    <t>SOLL</t>
  </si>
  <si>
    <t xml:space="preserve">HABEN </t>
  </si>
  <si>
    <t>HABEN</t>
  </si>
  <si>
    <t>Bauliche Investitionen in fremden Gebäuden</t>
  </si>
  <si>
    <t>Kumulierte Abschreibung Betriebsw- und Geschäftsausstattung</t>
  </si>
  <si>
    <t>SUMME Klasse 0</t>
  </si>
  <si>
    <t xml:space="preserve"> Forderungen aus Lieferungen und Leistungen Inland </t>
  </si>
  <si>
    <t xml:space="preserve"> Sonstige Forderungen </t>
  </si>
  <si>
    <t>ForderungKÖSt und  KESt</t>
  </si>
  <si>
    <t xml:space="preserve"> Vorsteuer 20% </t>
  </si>
  <si>
    <t xml:space="preserve"> Erste Bank </t>
  </si>
  <si>
    <t>Erste Bank Umbaukonto</t>
  </si>
  <si>
    <t>Erste Bank Tagesgeldkonto</t>
  </si>
  <si>
    <t xml:space="preserve"> Erste Bank Festgeldkonto </t>
  </si>
  <si>
    <t xml:space="preserve"> ARA </t>
  </si>
  <si>
    <t>SUMME Klasse 2</t>
  </si>
  <si>
    <t xml:space="preserve"> Sonstige Rückstellungen </t>
  </si>
  <si>
    <t>Rückstellungen für Sonderzahlungen</t>
  </si>
  <si>
    <t xml:space="preserve"> Verbindlichkeiten aus Lieferungen und Leistungen Inland</t>
  </si>
  <si>
    <t xml:space="preserve"> sonstige Verbindlichkeiten </t>
  </si>
  <si>
    <t xml:space="preserve"> Umsatzsteuer 20% </t>
  </si>
  <si>
    <t>FA Zahllast</t>
  </si>
  <si>
    <t>Verrechnung Finanzamt</t>
  </si>
  <si>
    <t>5.849,13</t>
  </si>
  <si>
    <t xml:space="preserve"> Verr. Kto. Lst, DB, DZ </t>
  </si>
  <si>
    <t xml:space="preserve"> Verr. Kto. KommSt. und DGA </t>
  </si>
  <si>
    <t xml:space="preserve"> Verr. Kto. Sozialversicherung </t>
  </si>
  <si>
    <t xml:space="preserve"> Verr. Kto. Löhne/Gehälter </t>
  </si>
  <si>
    <t xml:space="preserve"> Nachrangdarlehen </t>
  </si>
  <si>
    <t>SUMME Klasse 3</t>
  </si>
  <si>
    <t xml:space="preserve"> Umsatzerlöse im Inland (20%)</t>
  </si>
  <si>
    <t>Erlöse aus Mieteinnahmen (20%)</t>
  </si>
  <si>
    <t>sonstige Umsätze</t>
  </si>
  <si>
    <t xml:space="preserve"> Spenden</t>
  </si>
  <si>
    <t xml:space="preserve"> Öffentliche Zuschüsse</t>
  </si>
  <si>
    <t>Erträge aus Auflösung von Investitionszuschüssen</t>
  </si>
  <si>
    <t>Erträge aus Aufwandszuschüssen</t>
  </si>
  <si>
    <t xml:space="preserve">SUMME Klasse </t>
  </si>
  <si>
    <t>SUMME Klasse 4</t>
  </si>
  <si>
    <t xml:space="preserve"> Gehälter (Angestellte) </t>
  </si>
  <si>
    <t xml:space="preserve"> Sonderzahlungen (Angestellte) </t>
  </si>
  <si>
    <t xml:space="preserve"> Beiträge für betriebliche Mitarbeitervorsorgekasse </t>
  </si>
  <si>
    <t xml:space="preserve"> Gesetzlicher Sozialaufwand </t>
  </si>
  <si>
    <t xml:space="preserve"> Kommunalsteuer (Angestellte) </t>
  </si>
  <si>
    <t xml:space="preserve"> Wiener Dienstgeberabgabe (U-Bahn Angestellte)</t>
  </si>
  <si>
    <t>SUMME Klasse 6</t>
  </si>
  <si>
    <t xml:space="preserve">Abschreibung </t>
  </si>
  <si>
    <t xml:space="preserve">Sofortabschreibungen auf geringwertige Sachanlagen </t>
  </si>
  <si>
    <t xml:space="preserve"> Sonstige Gebühren und Abgaben </t>
  </si>
  <si>
    <t xml:space="preserve"> Software Wartung </t>
  </si>
  <si>
    <t>Transporte durch Dritte</t>
  </si>
  <si>
    <t xml:space="preserve"> Mobiltelefon </t>
  </si>
  <si>
    <t xml:space="preserve"> Postgebühren </t>
  </si>
  <si>
    <t xml:space="preserve"> Mietaufwand unbewegliche Wirtschaftsgüter 20 % </t>
  </si>
  <si>
    <t xml:space="preserve"> Büromaterial und Drucksorten </t>
  </si>
  <si>
    <t xml:space="preserve"> Bewirtungsaufwand </t>
  </si>
  <si>
    <t xml:space="preserve"> Inserate und Prospekte </t>
  </si>
  <si>
    <t xml:space="preserve"> Messen und Ausstellungen </t>
  </si>
  <si>
    <t xml:space="preserve"> Steuerberatungsaufwand </t>
  </si>
  <si>
    <t xml:space="preserve"> geleistete Honorare </t>
  </si>
  <si>
    <t xml:space="preserve"> Rechts- und Beratungsaufwand </t>
  </si>
  <si>
    <t xml:space="preserve"> Lohnverrechnungsaufwand </t>
  </si>
  <si>
    <t xml:space="preserve"> Prüfungsaufwand Revisionsverband 1.600,00</t>
  </si>
  <si>
    <t xml:space="preserve"> Mitgliedsbeiträge </t>
  </si>
  <si>
    <t xml:space="preserve"> Spesen des Geldverkehrs </t>
  </si>
  <si>
    <t xml:space="preserve"> Spesen des Geldverkehrs Bankgarantie</t>
  </si>
  <si>
    <t>SUMME Klasse 7</t>
  </si>
  <si>
    <t xml:space="preserve"> Zinserträge aus Bankguthaben </t>
  </si>
  <si>
    <t xml:space="preserve"> Zinsen und ähnliche Aufwendungen (andere) </t>
  </si>
  <si>
    <t>Mindestkörperschaftsteuer</t>
  </si>
  <si>
    <t xml:space="preserve"> Kapitalertragsteuer </t>
  </si>
  <si>
    <t>SUMME Klasse 8</t>
  </si>
  <si>
    <t xml:space="preserve"> Geschäftsanteile Mitglieder </t>
  </si>
  <si>
    <t>Zuschuss Nahversorgung - Digitalisierung/19-21</t>
  </si>
  <si>
    <t>SUMME Klasse 9</t>
  </si>
  <si>
    <t>BH</t>
  </si>
  <si>
    <t>MILA Finanzplan Mitgliederzahlen &amp; Umsatz</t>
  </si>
  <si>
    <t>Inflation</t>
  </si>
  <si>
    <t>Stand 18. Juni 2025</t>
  </si>
  <si>
    <t>gesamt</t>
  </si>
  <si>
    <t>Mitglieder aktiv und investierend ab 2026</t>
  </si>
  <si>
    <t>mtl. Mitgliederzuwachs</t>
  </si>
  <si>
    <t>davon Aktive</t>
  </si>
  <si>
    <t>- Karten an Miteinkäufer*innen ausgegeben</t>
  </si>
  <si>
    <t xml:space="preserve">einkaufende Mitglieder </t>
  </si>
  <si>
    <t>Zeile 45</t>
  </si>
  <si>
    <t xml:space="preserve">Miteinkaufende </t>
  </si>
  <si>
    <t>Durchschnittseinkauf Mitglied ab 2026</t>
  </si>
  <si>
    <t>Durchschnittseinkauf Miteinkaufende</t>
  </si>
  <si>
    <t>Faktor Saisonalität</t>
  </si>
  <si>
    <t>4000, 4030</t>
  </si>
  <si>
    <t xml:space="preserve">Umsatz netto </t>
  </si>
  <si>
    <t>Umsatzsteuer Umsatz Supermarkt 11,4%</t>
  </si>
  <si>
    <t>Warengutscheine einlösen netto (11,4 % MwSt)</t>
  </si>
  <si>
    <t xml:space="preserve">Rohaufschlag </t>
  </si>
  <si>
    <t>Schwund</t>
  </si>
  <si>
    <t>Wareneinsatz, inkl. Schwund</t>
  </si>
  <si>
    <t>Lagerstand</t>
  </si>
  <si>
    <t>Wareneinkauf (Ersteinkauf) exkl. USt.</t>
  </si>
  <si>
    <t>umsatzabhängiger Aufwand</t>
  </si>
  <si>
    <t>Abfallentsorgung (xx% vom Umsatz) inkl. USt.</t>
  </si>
  <si>
    <t>7790, 7791</t>
  </si>
  <si>
    <t>Umsatzabhängige Spesen des Geldverkehrs inkl. USt. (Kreditkartengebühren)</t>
  </si>
  <si>
    <t>umsatzabhängiger Aufwand inkl. USt.</t>
  </si>
  <si>
    <t>Geno-Anteil / Mitglied</t>
  </si>
  <si>
    <t>Geno-Anteil in Stück gesamt</t>
  </si>
  <si>
    <t>Anteilskapital Beginn des Monats</t>
  </si>
  <si>
    <t>Cash neue Geno-Anteile</t>
  </si>
  <si>
    <t>Bezug zu anderen Tabellenreitern: keine</t>
  </si>
  <si>
    <t>IST-Zahlen aus Datenbank / Buchhaltung</t>
  </si>
  <si>
    <t>unklar / Zahlen prüfen / mit IST-Zahlen zu aktualisieren</t>
  </si>
  <si>
    <t>update möglich</t>
  </si>
  <si>
    <t>Quellen:</t>
  </si>
  <si>
    <t>Inflation: https://www.wko.at/statistik/prognose/inflation.pdf</t>
  </si>
  <si>
    <t>Statista durchschnittliche Ausgaben Lebensmittel Haushalt/Monat 231 Euro: https://de.statista.com/statistik/daten/studie/1219529/umfrage/entwicklung-der-ausgaben-fuer-lebensmittel-pro-monat-in-oesterreich/</t>
  </si>
  <si>
    <t>Mitglieder vor Start</t>
  </si>
  <si>
    <t>Mitglieder seit Start</t>
  </si>
  <si>
    <t>Mitglieder gesamt</t>
  </si>
  <si>
    <t>Anteil alte Mitglieder</t>
  </si>
  <si>
    <t>einkaufend</t>
  </si>
  <si>
    <t>Anteil neue Mitglieder</t>
  </si>
  <si>
    <t>Einkaufs-Mix alt/neu</t>
  </si>
  <si>
    <t>D43 und D44 sind Eingabefelder für Anteil Einkaufende in %</t>
  </si>
  <si>
    <t>MILA Finanzplan Investitionen</t>
  </si>
  <si>
    <t>Kosten- schätzung</t>
  </si>
  <si>
    <t>Kosten- berechnung</t>
  </si>
  <si>
    <t>Kosten- prognose</t>
  </si>
  <si>
    <t>Kosten Ausstattung</t>
  </si>
  <si>
    <t>-</t>
  </si>
  <si>
    <t>Alarmanlage &amp; Diebstahlkameras gestrichen</t>
  </si>
  <si>
    <t>0600</t>
  </si>
  <si>
    <t>Rampe Innenhof</t>
  </si>
  <si>
    <t>(Büroeinrichtung ist 7200) → Einrichtung Verarbeitungsraum</t>
  </si>
  <si>
    <t>Einkaufswagen</t>
  </si>
  <si>
    <t>Handhubwagen</t>
  </si>
  <si>
    <t>IT-Hardware Netzwerk</t>
  </si>
  <si>
    <t>IT-Kassasysteme incl. Hardware ohne Lizenzgebühren</t>
  </si>
  <si>
    <t>IT-Software &amp; Hardware WAW Digitalisierung 2025</t>
  </si>
  <si>
    <t>0620</t>
  </si>
  <si>
    <t>Reinigungsmaschine</t>
  </si>
  <si>
    <t>Waagen</t>
  </si>
  <si>
    <t>Spinde</t>
  </si>
  <si>
    <t>Verkaufsregale</t>
  </si>
  <si>
    <t>Möbelbau</t>
  </si>
  <si>
    <t>Waschmaschine Trockner (12.3.2025 Kostenprognose gelöscht: 1.744 Euro)</t>
  </si>
  <si>
    <t>Behördengebühren (12.3.2025 Kostenprognose gelöscht: 1.000 Euro)</t>
  </si>
  <si>
    <t>Ausgaben für Eigenleistungen (12.3.2025 Kostenprognose gelöscht: 5.000 Euro)</t>
  </si>
  <si>
    <t>Kosten Planung &amp; Umbau</t>
  </si>
  <si>
    <t>0360</t>
  </si>
  <si>
    <t>Baumeisterarbeiten</t>
  </si>
  <si>
    <t>Gerüste</t>
  </si>
  <si>
    <t>Skonto</t>
  </si>
  <si>
    <t>Estricharbeiten</t>
  </si>
  <si>
    <t>Schlosser</t>
  </si>
  <si>
    <t>Schlosser Eingangsportal</t>
  </si>
  <si>
    <t>Schlosser Brandschutztüren</t>
  </si>
  <si>
    <t>Außenfenster</t>
  </si>
  <si>
    <t>Trockenbau Holzständerwände</t>
  </si>
  <si>
    <t>Fliesenarbeiten</t>
  </si>
  <si>
    <t>Bautischler</t>
  </si>
  <si>
    <t>Maler</t>
  </si>
  <si>
    <t>Bodenbelag</t>
  </si>
  <si>
    <t>Fördertechnik Sanierung</t>
  </si>
  <si>
    <t>Fördertechnik Neu</t>
  </si>
  <si>
    <t>Außenwerbung</t>
  </si>
  <si>
    <t>Fassadenverkleidung</t>
  </si>
  <si>
    <t>Schwarzdecker / Spengler</t>
  </si>
  <si>
    <t>Brandschutzverkleidung</t>
  </si>
  <si>
    <t>Sanierung Brandschutzschiebetor</t>
  </si>
  <si>
    <t>Brandschutzisolierungen</t>
  </si>
  <si>
    <t>Trockenbauarbeiten Dumitrache</t>
  </si>
  <si>
    <t>Wärmeisolierungen</t>
  </si>
  <si>
    <t>Elektroarbeiten</t>
  </si>
  <si>
    <t>Installateur</t>
  </si>
  <si>
    <t>Kältetechnik und Kühlmöbel</t>
  </si>
  <si>
    <t>Lüftung</t>
  </si>
  <si>
    <t>Malerarbeiten Oberlichtbereich</t>
  </si>
  <si>
    <t>Architekt Objektplanung</t>
  </si>
  <si>
    <t>BauKG</t>
  </si>
  <si>
    <t>Statik</t>
  </si>
  <si>
    <t>Bauphysik</t>
  </si>
  <si>
    <t>Fachplanung Elektro</t>
  </si>
  <si>
    <t>Fachplanung HKLS</t>
  </si>
  <si>
    <t>Prüfingenieur</t>
  </si>
  <si>
    <t>Stahl-Schneidearbeiten</t>
  </si>
  <si>
    <t>Regiearbeiten Elektro</t>
  </si>
  <si>
    <t>Reserve</t>
  </si>
  <si>
    <t>MILA Eigenleistung</t>
  </si>
  <si>
    <r>
      <rPr>
        <b/>
        <sz val="10"/>
        <color theme="1"/>
        <rFont val="Open Sans"/>
        <family val="2"/>
        <charset val="1"/>
      </rPr>
      <t xml:space="preserve">Investitionen gesamt </t>
    </r>
    <r>
      <rPr>
        <b/>
        <sz val="10"/>
        <color rgb="FFFF0000"/>
        <rFont val="Open Sans"/>
        <family val="2"/>
        <charset val="1"/>
      </rPr>
      <t xml:space="preserve">netto </t>
    </r>
    <r>
      <rPr>
        <b/>
        <sz val="10"/>
        <color theme="1"/>
        <rFont val="Open Sans"/>
        <family val="2"/>
        <charset val="1"/>
      </rPr>
      <t>(inkl. Ausstattung)</t>
    </r>
  </si>
  <si>
    <r>
      <rPr>
        <b/>
        <sz val="10"/>
        <color theme="1"/>
        <rFont val="Open Sans"/>
        <family val="2"/>
        <charset val="1"/>
      </rPr>
      <t>Investitionen gesamt</t>
    </r>
    <r>
      <rPr>
        <b/>
        <sz val="10"/>
        <color rgb="FFFF0000"/>
        <rFont val="Open Sans"/>
        <family val="2"/>
        <charset val="1"/>
      </rPr>
      <t xml:space="preserve"> inkl. USt. </t>
    </r>
    <r>
      <rPr>
        <b/>
        <sz val="10"/>
        <color theme="1"/>
        <rFont val="Open Sans"/>
        <family val="2"/>
        <charset val="1"/>
      </rPr>
      <t>– Daikin (keine USt.) im Investtionsblatt rausgerechnet</t>
    </r>
  </si>
  <si>
    <t>90 Eigenleistung MILA</t>
  </si>
  <si>
    <t>Zwischensumme Ausstattung 2024 netto</t>
  </si>
  <si>
    <t>Zwischensumme Ausstattung 2025 netto</t>
  </si>
  <si>
    <t>91 Kosten Eigentümer</t>
  </si>
  <si>
    <t>Zwischensumme Umbau 2024 netto</t>
  </si>
  <si>
    <t>Zwischensumme Umbau 2025 netto</t>
  </si>
  <si>
    <t>92 Reserve Kosten Eigentümer</t>
  </si>
  <si>
    <t>Gesamtergebnis 2024 netto</t>
  </si>
  <si>
    <t>Gesamtergebnis 2025 netto</t>
  </si>
  <si>
    <t>Gesamtergebnis 2024 brutto</t>
  </si>
  <si>
    <t>Gesamtergebnis 2025 brutto</t>
  </si>
  <si>
    <t>Prognose lt. Architekt</t>
  </si>
  <si>
    <t>Prognose gesamt</t>
  </si>
  <si>
    <t>MILA Eigenleistungen</t>
  </si>
  <si>
    <t>Legende</t>
  </si>
  <si>
    <t>Reserve Mila</t>
  </si>
  <si>
    <t>übernommen von Kostenschätzung / unverändert</t>
  </si>
  <si>
    <t>Zahlen aus der Buchhaltung</t>
  </si>
  <si>
    <t>MILA Förderungen</t>
  </si>
  <si>
    <t xml:space="preserve">Zuschuss im Monat </t>
  </si>
  <si>
    <t>Wahrschein- lichkeit</t>
  </si>
  <si>
    <t>Reduktion Aufwand</t>
  </si>
  <si>
    <t>Förderungen Gehälter AWS</t>
  </si>
  <si>
    <t>Rückstellung</t>
  </si>
  <si>
    <t>Förderung Green Finance 3. Rate</t>
  </si>
  <si>
    <t>WAW Digitalisierung 2025</t>
  </si>
  <si>
    <t>WAW Digitalisierung 2024</t>
  </si>
  <si>
    <t>BM Soziales 2024</t>
  </si>
  <si>
    <t>BM Soziales 2026</t>
  </si>
  <si>
    <t>WAW Nahversorgung</t>
  </si>
  <si>
    <t>WAW Geschäftbelebung</t>
  </si>
  <si>
    <t>WAW Nahversorgung Energie</t>
  </si>
  <si>
    <t>PRA 3900, 3995</t>
  </si>
  <si>
    <t>Crowdfunding 2024</t>
  </si>
  <si>
    <t>Demokratieprojekt Stadt Wien</t>
  </si>
  <si>
    <t>Future Foods (Uni Bonn)</t>
  </si>
  <si>
    <t>Tief-/Kühlregale (E. Sarugg)</t>
  </si>
  <si>
    <t>LED-Beleuchtung (E. Sarugg)</t>
  </si>
  <si>
    <t xml:space="preserve">Förderungen </t>
  </si>
  <si>
    <t>davon Investitionszuschüsse</t>
  </si>
  <si>
    <t>abgerechnet und ausbezahlt</t>
  </si>
  <si>
    <t>zugesagt, Akonto ausbezahlt 2024</t>
  </si>
  <si>
    <t>zugesagt exkl. Ausbezahltes Akonto</t>
  </si>
  <si>
    <t>Crowdfunding</t>
  </si>
  <si>
    <t>Förderungen eingereicht</t>
  </si>
  <si>
    <t>Förderungen einzureichen</t>
  </si>
  <si>
    <t>MILA Finanzierung</t>
  </si>
  <si>
    <t xml:space="preserve">Direktkredite </t>
  </si>
  <si>
    <t>Stand DK</t>
  </si>
  <si>
    <t>Einzahlungen DK</t>
  </si>
  <si>
    <t>Bank Betriebsmittelkredit bis 1.11.28</t>
  </si>
  <si>
    <t>Stand</t>
  </si>
  <si>
    <t>Rahmenprovision</t>
  </si>
  <si>
    <t>Bank Investkredit</t>
  </si>
  <si>
    <t>Veränderung/Tilgung</t>
  </si>
  <si>
    <t>Laufzeit Monate / Rate</t>
  </si>
  <si>
    <t>Bereitstellung</t>
  </si>
  <si>
    <t>Zinsaufwand gesamt</t>
  </si>
  <si>
    <t>Forderungen gesamt</t>
  </si>
  <si>
    <t>ARA 2900</t>
  </si>
  <si>
    <t>2200, 2500, 3500, 3520, 3530, 3540, 3550, 3600</t>
  </si>
  <si>
    <t>Verrechnung Finanzamt (inkl. Lohnabgaben)</t>
  </si>
  <si>
    <t>3300, 3310</t>
  </si>
  <si>
    <t>Verbindlichkeiten</t>
  </si>
  <si>
    <t>Update machen</t>
  </si>
  <si>
    <t>MILA Aufwand laufend</t>
  </si>
  <si>
    <t>2024/25</t>
  </si>
  <si>
    <t>Stand 19. Jänner 2025</t>
  </si>
  <si>
    <t>Personalaufwand</t>
  </si>
  <si>
    <t>Anzahl VZÄ</t>
  </si>
  <si>
    <t>Gehälter</t>
  </si>
  <si>
    <t>Lohnnebenkosten</t>
  </si>
  <si>
    <t>6 gesamt</t>
  </si>
  <si>
    <t>Ausgaben Personal gesamt netto</t>
  </si>
  <si>
    <t>Miete</t>
  </si>
  <si>
    <t>netto</t>
  </si>
  <si>
    <t>brutto</t>
  </si>
  <si>
    <t>Miete Supermarkt  zzgl. USt.</t>
  </si>
  <si>
    <t>Miete Krichbaumg. zzgl. USt.</t>
  </si>
  <si>
    <t>7540, 7180</t>
  </si>
  <si>
    <t>Provision (3 Nettomieten inkl. BK)</t>
  </si>
  <si>
    <t>Ausgaben Raummiete zzgl. USt.</t>
  </si>
  <si>
    <t>Sonstiger Aufwand</t>
  </si>
  <si>
    <t>im Jahr</t>
  </si>
  <si>
    <t>mtl./%</t>
  </si>
  <si>
    <t>0120</t>
  </si>
  <si>
    <t>Sofortabschreibungen geringw. Sachanlagen</t>
  </si>
  <si>
    <t>71…</t>
  </si>
  <si>
    <t>Lizenzgebühren Software (Kassa, ERP, Betrieb)</t>
  </si>
  <si>
    <t>Reinigungsmaterial (Div. Material)</t>
  </si>
  <si>
    <t>7382, 7390</t>
  </si>
  <si>
    <t>Kommunikation: Mobiltelefone, Internet</t>
  </si>
  <si>
    <t>72…</t>
  </si>
  <si>
    <t>Wartung Kühltechnik, Lüftung, Elektrik</t>
  </si>
  <si>
    <t>74…</t>
  </si>
  <si>
    <t>Energie je m² mtl., 735m2 + Heizung KBG</t>
  </si>
  <si>
    <t>Büromaterial &amp; Drucksorten</t>
  </si>
  <si>
    <t>7649, 7650, 7651</t>
  </si>
  <si>
    <t>Mitgliederevents &amp; Werbung (inkl. GV, Inserate, Prospekte, Messen)</t>
  </si>
  <si>
    <t xml:space="preserve"> </t>
  </si>
  <si>
    <t xml:space="preserve">  </t>
  </si>
  <si>
    <t>7…</t>
  </si>
  <si>
    <t>Sicherheitsdienst</t>
  </si>
  <si>
    <t>geleistete Honorare Plattformwartung</t>
  </si>
  <si>
    <t>Rechts- und Beratungsaufwand (Steuerberater, …)</t>
  </si>
  <si>
    <t>Lohnverrechnung</t>
  </si>
  <si>
    <t>pro P/Mo.</t>
  </si>
  <si>
    <t>7785 8530</t>
  </si>
  <si>
    <t>Mitgliedsbeiträge (Rückenwind, Revision)</t>
  </si>
  <si>
    <t xml:space="preserve">Spesen des Geldverkehrs </t>
  </si>
  <si>
    <t>Ausgaben sonstiger Aufwand</t>
  </si>
  <si>
    <t>Aufwand gesamt</t>
  </si>
  <si>
    <t>Steuern</t>
  </si>
  <si>
    <t>Basis Vorsteuer Aufwände</t>
  </si>
  <si>
    <t>Basis Vorsteuer Investitionen</t>
  </si>
  <si>
    <t>zu bezahlende Vorsteuer 20%</t>
  </si>
  <si>
    <t>Bezug zu anderen Tabellenreitern: Personal</t>
  </si>
  <si>
    <t>MILA Liquidität</t>
  </si>
  <si>
    <t>1.HJ.2025</t>
  </si>
  <si>
    <t xml:space="preserve">Einzahlungen </t>
  </si>
  <si>
    <t>Liquide Mittel 1.2.2026</t>
  </si>
  <si>
    <t>ab 2027 keine Förderungen mehr vorgesehen</t>
  </si>
  <si>
    <t>Ausgleich Aktiva VJ</t>
  </si>
  <si>
    <t>Direktkredit</t>
  </si>
  <si>
    <t>Bankkredit Investitionen</t>
  </si>
  <si>
    <t>Bankkredit Betriebsmittel</t>
  </si>
  <si>
    <t>Guthaben Mitgliederkarten/ Warengutscheine</t>
  </si>
  <si>
    <t>Umsatzerlöse Inland</t>
  </si>
  <si>
    <t>Erlöse aus Mieteinnahmen und Sonstige</t>
  </si>
  <si>
    <t>Zinsen aus Bankguthaben (Festgeld)</t>
  </si>
  <si>
    <t>Einzahlungen Gesamt</t>
  </si>
  <si>
    <t xml:space="preserve">Auszahlungen </t>
  </si>
  <si>
    <t xml:space="preserve">Gehälter </t>
  </si>
  <si>
    <t>P</t>
  </si>
  <si>
    <t xml:space="preserve">   derzeit keine weiteren vorgesehen</t>
  </si>
  <si>
    <t>derzeit keine vorgesehen</t>
  </si>
  <si>
    <t>Ausgleich Passiva VJ</t>
  </si>
  <si>
    <t>Vorsteuer in ER</t>
  </si>
  <si>
    <t>Rückführung Betriebsmittelkredit Mitgl/MM</t>
  </si>
  <si>
    <t>Bereitstellung Investionskredit</t>
  </si>
  <si>
    <t>UVA/Zahllast</t>
  </si>
  <si>
    <t>VZ Köst</t>
  </si>
  <si>
    <t>Reduktion durch Überrechnunganträge</t>
  </si>
  <si>
    <t xml:space="preserve">Auszahlungen Gesamt </t>
  </si>
  <si>
    <t>Verrechnung Umsatzsteuer</t>
  </si>
  <si>
    <t>Zu bezahlende Umsatzsteuer Wareneinkauf 11,4%</t>
  </si>
  <si>
    <t xml:space="preserve">Vorsteuer in ER </t>
  </si>
  <si>
    <t>UVA Zahllast</t>
  </si>
  <si>
    <t xml:space="preserve">Finanzierungsbedarf mtl. </t>
  </si>
  <si>
    <t>Finanzierung kumuliert</t>
  </si>
  <si>
    <t>liquide Mittel gesamt (Konten)</t>
  </si>
  <si>
    <t>Salden der Korrekturen mit Buchhaltung</t>
  </si>
  <si>
    <t>Bezug zu anderen Tabellenreitern: Mitgl, Investitionen, Foerdergn, Finanz, Aufwand, Bil, GV</t>
  </si>
  <si>
    <t>Bilanz</t>
  </si>
  <si>
    <t>Erstes Jahr</t>
  </si>
  <si>
    <t>Zweites Jahr</t>
  </si>
  <si>
    <t>Drittes Jahr</t>
  </si>
  <si>
    <t>Viertes Jahr</t>
  </si>
  <si>
    <t>Fünftes Jahr</t>
  </si>
  <si>
    <t>Sechstes Jahr</t>
  </si>
  <si>
    <t>Endbilanz</t>
  </si>
  <si>
    <t>Anlagevermögen:</t>
  </si>
  <si>
    <t>Immaterielle Vermögensgegenstände (IT)</t>
  </si>
  <si>
    <t>Sachanlagen (BGA)</t>
  </si>
  <si>
    <t>Summe AV</t>
  </si>
  <si>
    <t>Umlaufvermögen:</t>
  </si>
  <si>
    <t>Hilfsmaterialien (Verpackungen)</t>
  </si>
  <si>
    <t>Warenvorräte</t>
  </si>
  <si>
    <t>Forderungen aus Lieferungen und Leistungen</t>
  </si>
  <si>
    <t>Sonstige Forderungen UVA</t>
  </si>
  <si>
    <t>Wertpapiere und Anteile</t>
  </si>
  <si>
    <t>Kassabestand und Guthaben bei Kreditinstituten</t>
  </si>
  <si>
    <t>Summe UV</t>
  </si>
  <si>
    <t>Aktive Rechnungsabgrenzungsposten (ARA)</t>
  </si>
  <si>
    <t>Summe Aktiva</t>
  </si>
  <si>
    <t>Eigenkapital</t>
  </si>
  <si>
    <t>Genossenschaftsanteile</t>
  </si>
  <si>
    <t>Nachrangige Darlehen</t>
  </si>
  <si>
    <t>Kapitalrücklagen</t>
  </si>
  <si>
    <t>Gewinnrücklagen</t>
  </si>
  <si>
    <t>Gewinnvortrag/Verlustvortrag</t>
  </si>
  <si>
    <t>Bilanzgewinn/Bilanzverlust</t>
  </si>
  <si>
    <t>Summe Eigenkapital</t>
  </si>
  <si>
    <t>Unversteuerte Rücklagen</t>
  </si>
  <si>
    <t>Rückstellungen (Urlaube, Überstunden, Jahresabschluss)</t>
  </si>
  <si>
    <t>Rückstellungen</t>
  </si>
  <si>
    <t>Bankkredite</t>
  </si>
  <si>
    <t>Verbindlichkeiten aus Lieferungen und Leistungen</t>
  </si>
  <si>
    <t>Gutscheine</t>
  </si>
  <si>
    <t xml:space="preserve">Sonstige Verbindlichkeiten </t>
  </si>
  <si>
    <t>Passive Rechnungsabgrenzungsposten</t>
  </si>
  <si>
    <t>Summe Passiva</t>
  </si>
  <si>
    <t>checksum</t>
  </si>
  <si>
    <t xml:space="preserve">                                                                                                                                                                                    </t>
  </si>
  <si>
    <t>Saldo = Kassastand</t>
  </si>
  <si>
    <t xml:space="preserve">lt.Liqu. </t>
  </si>
  <si>
    <t>Ausgeglichen =&gt; 0</t>
  </si>
  <si>
    <t>Ausgleich Aktiva</t>
  </si>
  <si>
    <t>Ausgleich Passiva exl. Warengutscheine</t>
  </si>
  <si>
    <t>Bilanzielles Eingenkapital</t>
  </si>
  <si>
    <t>Gewinn &amp; Verlustrechnung BASIC Szenario</t>
  </si>
  <si>
    <t>V11</t>
  </si>
  <si>
    <t>Bilanzstichtag</t>
  </si>
  <si>
    <t>Anzahl Genossenschafter</t>
  </si>
  <si>
    <t xml:space="preserve">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</si>
  <si>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</si>
  <si>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Umsatzerlöse</t>
  </si>
  <si>
    <t>Vermietung Veranstaltungsraum</t>
  </si>
  <si>
    <t>sonst. betriebl. Erträge</t>
  </si>
  <si>
    <t>SUMME ERLÖSE</t>
  </si>
  <si>
    <t>Aufwendungen für Material und Wareneinsatz</t>
  </si>
  <si>
    <t>3.1. Verpackungen</t>
  </si>
  <si>
    <t>3.2. Wareneinsatz</t>
  </si>
  <si>
    <t>6.15. Schwund</t>
  </si>
  <si>
    <t>3.3. Skonti</t>
  </si>
  <si>
    <t>SUMME MATERIAL</t>
  </si>
  <si>
    <t>Abschreibungen</t>
  </si>
  <si>
    <t>5.1. Abschreibungen lt. AVZ</t>
  </si>
  <si>
    <t xml:space="preserve">                                                                                                                                                         </t>
  </si>
  <si>
    <t>5.2.Abschreibung GWG</t>
  </si>
  <si>
    <t>SUMME ABSCHREIBUNGEN</t>
  </si>
  <si>
    <t>6.1. Instandhaltung, Reinigung, Energie</t>
  </si>
  <si>
    <t>6.2. Energie</t>
  </si>
  <si>
    <t>6.3. Transporte</t>
  </si>
  <si>
    <t>6.4. Miete</t>
  </si>
  <si>
    <t>6.5. Büromaterial</t>
  </si>
  <si>
    <t>6.6. Kommunikation (Telefon, Internet)</t>
  </si>
  <si>
    <t>6.7. Werbung + PR</t>
  </si>
  <si>
    <t>6.8. Versicherungen</t>
  </si>
  <si>
    <t>6.9. Beratungaufwand (Steuerberatung und Revisionsverband und Lohnverrechnung)</t>
  </si>
  <si>
    <t>6.10. Aus und Weiterbildung</t>
  </si>
  <si>
    <t>6.11. Gebühren und Beiträge</t>
  </si>
  <si>
    <t>6.12. Spesen des Geldverkehrs</t>
  </si>
  <si>
    <t>6.13. Schadensfälle (Kassadifferenzen, Wertberichtigungen)</t>
  </si>
  <si>
    <t>6.14. diverser Aufwand (Personal, Mahnspesen, ….)</t>
  </si>
  <si>
    <t>6.16. IT Wartung</t>
  </si>
  <si>
    <t>6.17. Sicherheitsdienst</t>
  </si>
  <si>
    <t>6.18. Abfallentsorgung</t>
  </si>
  <si>
    <t>6.19. Bewirtung</t>
  </si>
  <si>
    <t>SUMME SONSTIGER BETR. AUFWAND</t>
  </si>
  <si>
    <t>SUMME AUFWENDUNGEN</t>
  </si>
  <si>
    <t>Betriebsergebnis vor Abschreibungen (EBDIT)</t>
  </si>
  <si>
    <t>Betriebsergebnis (EBIT)</t>
  </si>
  <si>
    <t>Zinsertrag</t>
  </si>
  <si>
    <t>Finanzergebnis</t>
  </si>
  <si>
    <t>Ergebnis aus gewöhnlicher Geschäftstätigkeit (EGT)</t>
  </si>
  <si>
    <t>außergewöhnliche Erträge/Aufwendungen</t>
  </si>
  <si>
    <t>außerordentliches Ergebnis</t>
  </si>
  <si>
    <t>Steuern vom Einkommen und vom Ertrag</t>
  </si>
  <si>
    <t>Jahresüberschuss/Jahresfehlbetrag</t>
  </si>
  <si>
    <t>Auflösung/Zuweisung zu Rücklagen</t>
  </si>
  <si>
    <t>Gewinn &amp; Verlustrechnung Worst Case Szenario: 750 Mitglieder Ende 10/24 statt 850 Mitglieder (Basic Case)</t>
  </si>
  <si>
    <t>Bilanzgewinn/Bilanzverlust (kumuliert)</t>
  </si>
  <si>
    <t>Gewinn &amp; Verlustrechnung Worst Case Szenario: 750 Mitglieder Ende 10/24 statt 850 Mitglieder; Massnahme: Reduktion um 0,5 VZÄ von 12/24 bis 01/25</t>
  </si>
  <si>
    <t>Anlagenverzeichnis 2024</t>
  </si>
  <si>
    <t xml:space="preserve">Nr. </t>
  </si>
  <si>
    <t>Bezeichnung</t>
  </si>
  <si>
    <t>Anschaffung</t>
  </si>
  <si>
    <t>Nutzungs-</t>
  </si>
  <si>
    <t>Anschaffungs-</t>
  </si>
  <si>
    <t>Buchwert</t>
  </si>
  <si>
    <t>Zugang</t>
  </si>
  <si>
    <t xml:space="preserve">Abgang </t>
  </si>
  <si>
    <t xml:space="preserve">Buchwert </t>
  </si>
  <si>
    <t>Inbetriebnahme</t>
  </si>
  <si>
    <t>dauer</t>
  </si>
  <si>
    <t>kosten</t>
  </si>
  <si>
    <t>Abgang</t>
  </si>
  <si>
    <t>IT und Kasse</t>
  </si>
  <si>
    <t>Einbauten in fremde Gebäude</t>
  </si>
  <si>
    <t xml:space="preserve">Ausstattung lt. Liste </t>
  </si>
  <si>
    <t>Investitionszuschüsse</t>
  </si>
  <si>
    <t>Anlagenverzeichnis 2025</t>
  </si>
  <si>
    <t>Software + Hardware</t>
  </si>
  <si>
    <t>1.1</t>
  </si>
  <si>
    <t>2.1</t>
  </si>
  <si>
    <t>Ausstattung lt. Liste</t>
  </si>
  <si>
    <t>3.1</t>
  </si>
  <si>
    <t>4.1</t>
  </si>
  <si>
    <t>Anlagenverzeichnis 2026</t>
  </si>
  <si>
    <t>4.2</t>
  </si>
  <si>
    <t>Anlagenverzeichnis 2027</t>
  </si>
  <si>
    <t>Anlagenverzeichnis 2028</t>
  </si>
  <si>
    <t>MILA Personal</t>
  </si>
  <si>
    <t>Stand 15. Jänner 2025</t>
  </si>
  <si>
    <t>Feb.</t>
  </si>
  <si>
    <t>März</t>
  </si>
  <si>
    <t>April</t>
  </si>
  <si>
    <t>Mai</t>
  </si>
  <si>
    <t>Juni</t>
  </si>
  <si>
    <t>Juli</t>
  </si>
  <si>
    <t>Aug.</t>
  </si>
  <si>
    <t>Sep.</t>
  </si>
  <si>
    <t>Okt.</t>
  </si>
  <si>
    <t>Nov.</t>
  </si>
  <si>
    <t>Dez.</t>
  </si>
  <si>
    <t>Jän.</t>
  </si>
  <si>
    <t>Wochenstunden</t>
  </si>
  <si>
    <t>Buchhaltung</t>
  </si>
  <si>
    <t>Wochenstunden gesamt</t>
  </si>
  <si>
    <t>VZÄ</t>
  </si>
  <si>
    <t>Wo.Stunden</t>
  </si>
  <si>
    <t>Durchschnitts-Gehalt</t>
  </si>
  <si>
    <t>Honorare</t>
  </si>
  <si>
    <t>Personalkosten gesamt</t>
  </si>
  <si>
    <t>Berechnung vom</t>
  </si>
  <si>
    <t>Gehalt V1</t>
  </si>
  <si>
    <t>Cash-flow - Kapitalflussrechnung</t>
  </si>
  <si>
    <t>MUSTERBERICHT AWIT</t>
  </si>
  <si>
    <t>Jahr</t>
  </si>
  <si>
    <t>Finanzmittelfonds: Liquide Mittel gemäß § 224 Abs 2, Aktiva B IV</t>
  </si>
  <si>
    <t>Cash-flow - Kapitalflussrechnung in TEUR</t>
  </si>
  <si>
    <t xml:space="preserve">                        TS</t>
  </si>
  <si>
    <t>a)</t>
  </si>
  <si>
    <t>Cash-flow aus der Betriebstätigkeit</t>
  </si>
  <si>
    <t>Jahresüberschuss aus der G&amp;V</t>
  </si>
  <si>
    <t>Jahresüberschuss/-fehlbetrag</t>
  </si>
  <si>
    <t>nicht ausgabenwirksamer Aufwand</t>
  </si>
  <si>
    <t>+ Abschreibungen</t>
  </si>
  <si>
    <t>+ Buchwert abgegangener abnutzbarer Anlagen (inklusive</t>
  </si>
  <si>
    <t>nicht einnahmenwirksamer Ertrag</t>
  </si>
  <si>
    <t xml:space="preserve">   Finanzanlagen)</t>
  </si>
  <si>
    <t>Veränderung langfristiger Rückstellungen</t>
  </si>
  <si>
    <t>Cash-flow aus dem Ergebnis</t>
  </si>
  <si>
    <t>Veränderung Aktiva</t>
  </si>
  <si>
    <t>Veränderung der Forderungen aus</t>
  </si>
  <si>
    <t xml:space="preserve">Sonstige Forderungen </t>
  </si>
  <si>
    <t>Aktive Rechnungsabgrenzungsposten</t>
  </si>
  <si>
    <t>Veränderung der Forderungen gegen Unternehmen, mit</t>
  </si>
  <si>
    <t>Veränderung Passiva</t>
  </si>
  <si>
    <t>Veränderung der aktiven Rechnungsabgrenzungsposten</t>
  </si>
  <si>
    <t>Veränderungen der kurzfristigen Rückstellungen</t>
  </si>
  <si>
    <t>Veränderung der erhaltenen Anzahlungen</t>
  </si>
  <si>
    <t>Veränderung der Liefer- und Leistungsverbindlichkeiten</t>
  </si>
  <si>
    <t>Veränderung der Schuldwechsel</t>
  </si>
  <si>
    <t>Veränderung der Verbindlichkeiten gegenüber</t>
  </si>
  <si>
    <t>b)</t>
  </si>
  <si>
    <t>Cash-flow aus Investitionsaktivitäten</t>
  </si>
  <si>
    <t>Investitionen im Anlagevermögen</t>
  </si>
  <si>
    <t>Gewährung bzw. Rückzahlung von Finanzdarlehen</t>
  </si>
  <si>
    <t>c)</t>
  </si>
  <si>
    <t>Cash-flow aus Finanzierungsaktivitäten</t>
  </si>
  <si>
    <t>Aufnahme bzw. Rückzahlung von Anleihen</t>
  </si>
  <si>
    <t>Aufnahme und Rückzahlung von Bankdarlehen</t>
  </si>
  <si>
    <t xml:space="preserve">Einzahlungen von Gesellschaftern </t>
  </si>
  <si>
    <t>Veränderung der Direktkredite</t>
  </si>
  <si>
    <t>+ Einzahlung von Gesellschaftern (Kapitalerhöhung,</t>
  </si>
  <si>
    <t xml:space="preserve">  Gesellschafterzuschüsse)</t>
  </si>
  <si>
    <t>Aufnahme Gesellschafterdarlehen</t>
  </si>
  <si>
    <t>- Zahlungen an die Gesellschafter (Gewinnausschüttungen,</t>
  </si>
  <si>
    <t xml:space="preserve">  Rückzahlungen von Kapital)</t>
  </si>
  <si>
    <t>Finanzmittelzuwachs/-abnahme</t>
  </si>
  <si>
    <t>Anfangsbestand liquide Mittel EB</t>
  </si>
  <si>
    <t>Anfangsbestand liquide Mittel 1. April 1999</t>
  </si>
  <si>
    <t>Endbestand liquide Mittel 31. Jänner 2024</t>
  </si>
  <si>
    <t>Endbestand liquide Mittel 31. März 2000</t>
  </si>
  <si>
    <t>Veränderung des Fonds liquide Mittel</t>
  </si>
  <si>
    <t>Warungsverträge</t>
  </si>
  <si>
    <t>Software</t>
  </si>
  <si>
    <t>Kosten/ Jahr</t>
  </si>
  <si>
    <t>Fälligkeit</t>
  </si>
  <si>
    <t>Aufzug/ Kone</t>
  </si>
  <si>
    <t>Jänner</t>
  </si>
  <si>
    <t>Kühltechnik/ Daikin</t>
  </si>
  <si>
    <t>Eingangsportal</t>
  </si>
  <si>
    <t>Brandschutzschiebetor</t>
  </si>
  <si>
    <t>Elektrik</t>
  </si>
  <si>
    <t>Schätzung</t>
  </si>
  <si>
    <t>Notbeleuchtung</t>
  </si>
  <si>
    <t>Rauchklappen/ Ifus</t>
  </si>
  <si>
    <t>Treppenlift</t>
  </si>
  <si>
    <t>Summe</t>
  </si>
  <si>
    <t>Softwareverträge</t>
  </si>
  <si>
    <t>högl</t>
  </si>
  <si>
    <t>lotzapp</t>
  </si>
  <si>
    <t>datenkollektiv</t>
  </si>
  <si>
    <t>hetzner</t>
  </si>
  <si>
    <t>3.2</t>
  </si>
  <si>
    <t>Evidenz Investitionszuschüsse 2024</t>
  </si>
  <si>
    <t>Evidenz Investitionszuschüsse 2025</t>
  </si>
  <si>
    <t>Evidenz Investitionszuschüsse 2026</t>
  </si>
  <si>
    <t>Evidenz Investitionszuschüsse 2027</t>
  </si>
  <si>
    <t>Evidenz Investitionszuschüsse 2028</t>
  </si>
  <si>
    <t xml:space="preserve">Auflösung </t>
  </si>
  <si>
    <t>Sachanlagen (Gebäude)</t>
  </si>
  <si>
    <t>Bilanz 31012025</t>
  </si>
  <si>
    <t>Gesamte Förderungen</t>
  </si>
  <si>
    <t>GuV 31012025</t>
  </si>
  <si>
    <t>Förderungen 2027</t>
  </si>
  <si>
    <t>Förderungen 2026</t>
  </si>
  <si>
    <t>Ögut Award</t>
  </si>
  <si>
    <t>4.2.</t>
  </si>
  <si>
    <t>Investitionszuschüsse IT</t>
  </si>
  <si>
    <t>Investitionszuschüsse IT 2024</t>
  </si>
  <si>
    <t>Investitonszuschüsse IT 2025</t>
  </si>
  <si>
    <t>Anlagenverzeichnis 2029</t>
  </si>
  <si>
    <t>Anlagenverzeichnis 2030</t>
  </si>
  <si>
    <t>Evidenz Investitionszuschüsse 2029</t>
  </si>
  <si>
    <t>Evidenz Investitionszuschüsse 2030</t>
  </si>
  <si>
    <t xml:space="preserve">Investitionszuschüsse </t>
  </si>
  <si>
    <t>Investitionszuschüsse IT 2025</t>
  </si>
  <si>
    <t>Siebentes Jahr</t>
  </si>
  <si>
    <t>Achtes Jahr</t>
  </si>
  <si>
    <t>Jahresgewinn/Jahresverlust</t>
  </si>
  <si>
    <t>Investitonszuschüsse Barrierefrei</t>
  </si>
  <si>
    <t>Geschäftsführung A</t>
  </si>
  <si>
    <t>Geschäftsführung B</t>
  </si>
  <si>
    <t>Schichten und Koordinator*innen</t>
  </si>
  <si>
    <t>Migliederbüro</t>
  </si>
  <si>
    <t>Einkauf</t>
  </si>
  <si>
    <t>Öffentlichkeitsarbeit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</si>
</sst>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_-* #,##0.00_-;\-* #,##0.00_-;_-* \-??_-;_-@_-"/>
    <numFmt numFmtId="165" formatCode="0\ %"/>
    <numFmt numFmtId="166" formatCode="#,##0.00_);\(#,##0.00\)"/>
    <numFmt numFmtId="167" formatCode="0.00\ %"/>
    <numFmt numFmtId="168" formatCode="0.0\ %"/>
    <numFmt numFmtId="169" formatCode="d/\ mmm/\ yyyy"/>
    <numFmt numFmtId="170" formatCode="[$€-C07]\ #,##0.00;\-[$€-C07]\ #,##0.00"/>
    <numFmt numFmtId="171" formatCode="0.0%"/>
    <numFmt numFmtId="172" formatCode="#,##0.0;\-#,##0.0"/>
    <numFmt numFmtId="173" formatCode="#,##0.00000;\-#,##0.00000"/>
    <numFmt numFmtId="174" formatCode="dd/mm/yy"/>
    <numFmt numFmtId="175" formatCode="[$€-C07]\ #,##0;\-[$€-C07]\ #,##0"/>
    <numFmt numFmtId="176" formatCode="#,##0.00&quot; €&quot;;\-#,##0.00&quot; €&quot;;;@"/>
    <numFmt numFmtId="177" formatCode="mm/yy"/>
    <numFmt numFmtId="178" formatCode="#,##0.0"/>
    <numFmt numFmtId="179" formatCode="0;\-0"/>
    <numFmt numFmtId="180" formatCode="#,##0_ ;\-#,##0\ "/>
    <numFmt numFmtId="181" formatCode="m/d/yyyy"/>
    <numFmt numFmtId="182" formatCode="_-* #,##0.00\ _€_-;\-* #,##0.00\ _€_-;_-* \-??\ _€_-;_-@_-"/>
    <numFmt numFmtId="183" formatCode="#,##0.000"/>
    <numFmt numFmtId="184" formatCode="#,##0,;&quot;- &quot;#,##0,"/>
  </numFmts>
  <fonts count="73" x14ac:knownFonts="1">
    <font>
      <sz val="11"/>
      <color theme="1"/>
      <name val="Calibri"/>
      <family val="2"/>
      <charset val="1"/>
    </font>
    <font>
      <b/>
      <sz val="10"/>
      <color rgb="FFFFFFFF"/>
      <name val="Arial"/>
      <family val="2"/>
      <charset val="1"/>
    </font>
    <font>
      <b/>
      <sz val="10"/>
      <color theme="1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theme="1"/>
      <name val="Arial"/>
      <family val="2"/>
      <charset val="1"/>
    </font>
    <font>
      <b/>
      <sz val="24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sz val="11"/>
      <color rgb="FF000000"/>
      <name val="Calibri"/>
      <family val="2"/>
      <charset val="1"/>
    </font>
    <font>
      <b/>
      <i/>
      <u/>
      <sz val="10"/>
      <color theme="1"/>
      <name val="Arial"/>
      <family val="2"/>
      <charset val="1"/>
    </font>
    <font>
      <sz val="10"/>
      <name val="Arial"/>
      <family val="2"/>
      <charset val="1"/>
    </font>
    <font>
      <sz val="10"/>
      <color theme="1"/>
      <name val="Arial"/>
      <family val="2"/>
      <charset val="1"/>
    </font>
    <font>
      <sz val="12"/>
      <name val="Times New Roman"/>
      <family val="1"/>
      <charset val="1"/>
    </font>
    <font>
      <b/>
      <sz val="11"/>
      <color theme="1"/>
      <name val="Calibri"/>
      <family val="2"/>
      <charset val="1"/>
    </font>
    <font>
      <sz val="11"/>
      <color rgb="FFFF0000"/>
      <name val="Calibri"/>
      <family val="2"/>
      <charset val="1"/>
    </font>
    <font>
      <sz val="9"/>
      <color theme="1"/>
      <name val="Calibri"/>
      <family val="2"/>
      <charset val="1"/>
    </font>
    <font>
      <sz val="10"/>
      <name val="Calibri"/>
      <family val="2"/>
    </font>
    <font>
      <sz val="9"/>
      <color rgb="FF000000"/>
      <name val="Segoe UI"/>
      <family val="2"/>
      <charset val="1"/>
    </font>
    <font>
      <sz val="10"/>
      <color theme="1"/>
      <name val="Open Sans"/>
      <family val="2"/>
      <charset val="1"/>
    </font>
    <font>
      <b/>
      <sz val="10"/>
      <color theme="1"/>
      <name val="Open Sans"/>
      <family val="2"/>
      <charset val="1"/>
    </font>
    <font>
      <sz val="10"/>
      <name val="Open Sans"/>
      <family val="2"/>
      <charset val="1"/>
    </font>
    <font>
      <sz val="10"/>
      <color rgb="FFFF0000"/>
      <name val="Open Sans"/>
      <family val="2"/>
      <charset val="1"/>
    </font>
    <font>
      <b/>
      <sz val="10"/>
      <name val="Open Sans"/>
      <family val="2"/>
      <charset val="1"/>
    </font>
    <font>
      <i/>
      <sz val="10"/>
      <color theme="1"/>
      <name val="Open Sans"/>
      <family val="2"/>
      <charset val="1"/>
    </font>
    <font>
      <sz val="10"/>
      <color rgb="FF000000"/>
      <name val="Open Sans"/>
      <family val="2"/>
      <charset val="1"/>
    </font>
    <font>
      <sz val="10"/>
      <color rgb="FFC9211E"/>
      <name val="Open Sans"/>
      <family val="2"/>
      <charset val="1"/>
    </font>
    <font>
      <sz val="9"/>
      <color rgb="FF000000"/>
      <name val="Tahoma"/>
      <family val="2"/>
      <charset val="1"/>
    </font>
    <font>
      <sz val="8"/>
      <color theme="1"/>
      <name val="Open Sans"/>
      <family val="2"/>
      <charset val="1"/>
    </font>
    <font>
      <b/>
      <sz val="8"/>
      <color theme="1"/>
      <name val="Open Sans"/>
      <family val="2"/>
      <charset val="1"/>
    </font>
    <font>
      <b/>
      <i/>
      <sz val="10"/>
      <color theme="1"/>
      <name val="Open Sans"/>
      <family val="2"/>
      <charset val="1"/>
    </font>
    <font>
      <i/>
      <sz val="8"/>
      <color theme="1"/>
      <name val="Open Sans"/>
      <family val="2"/>
      <charset val="1"/>
    </font>
    <font>
      <sz val="10"/>
      <color rgb="FF999999"/>
      <name val="Open Sans"/>
      <family val="2"/>
      <charset val="1"/>
    </font>
    <font>
      <i/>
      <sz val="10"/>
      <color rgb="FF999999"/>
      <name val="Open Sans"/>
      <family val="2"/>
      <charset val="1"/>
    </font>
    <font>
      <i/>
      <sz val="8"/>
      <color rgb="FF999999"/>
      <name val="Open Sans"/>
      <family val="2"/>
      <charset val="1"/>
    </font>
    <font>
      <sz val="10"/>
      <color theme="1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FF0000"/>
      <name val="Open Sans"/>
      <family val="2"/>
      <charset val="1"/>
    </font>
    <font>
      <b/>
      <i/>
      <sz val="8"/>
      <color rgb="FF000000"/>
      <name val="Open Sans"/>
      <family val="2"/>
      <charset val="1"/>
    </font>
    <font>
      <b/>
      <sz val="10"/>
      <color rgb="FF000000"/>
      <name val="Open Sans"/>
      <family val="2"/>
      <charset val="1"/>
    </font>
    <font>
      <b/>
      <sz val="8"/>
      <color rgb="FF000000"/>
      <name val="Open Sans"/>
      <family val="2"/>
      <charset val="1"/>
    </font>
    <font>
      <i/>
      <sz val="10"/>
      <color theme="1"/>
      <name val="Calibri"/>
      <family val="2"/>
      <charset val="1"/>
    </font>
    <font>
      <sz val="8"/>
      <color theme="1"/>
      <name val="Calibri"/>
      <family val="2"/>
      <charset val="1"/>
    </font>
    <font>
      <b/>
      <i/>
      <sz val="10"/>
      <color rgb="FF000000"/>
      <name val="Open Sans"/>
      <family val="2"/>
      <charset val="1"/>
    </font>
    <font>
      <i/>
      <sz val="10"/>
      <color rgb="FF000000"/>
      <name val="Open Sans"/>
      <family val="2"/>
      <charset val="1"/>
    </font>
    <font>
      <i/>
      <sz val="10"/>
      <color rgb="FFFF0000"/>
      <name val="Open Sans"/>
      <family val="2"/>
      <charset val="1"/>
    </font>
    <font>
      <sz val="10"/>
      <name val="Calibri"/>
      <family val="2"/>
      <charset val="1"/>
    </font>
    <font>
      <b/>
      <sz val="9"/>
      <color rgb="FF000000"/>
      <name val="Segoe UI"/>
      <family val="2"/>
      <charset val="1"/>
    </font>
    <font>
      <sz val="10"/>
      <color theme="2" tint="-0.499984740745262"/>
      <name val="Open Sans"/>
      <family val="2"/>
      <charset val="1"/>
    </font>
    <font>
      <sz val="11"/>
      <name val="Calibri"/>
      <family val="2"/>
      <charset val="1"/>
    </font>
    <font>
      <i/>
      <sz val="10"/>
      <name val="Open Sans"/>
      <family val="2"/>
      <charset val="1"/>
    </font>
    <font>
      <sz val="10"/>
      <color theme="6"/>
      <name val="Open Sans"/>
      <family val="2"/>
      <charset val="1"/>
    </font>
    <font>
      <b/>
      <sz val="11"/>
      <color rgb="FF000000"/>
      <name val="Calibri"/>
      <family val="2"/>
      <charset val="1"/>
    </font>
    <font>
      <sz val="11"/>
      <color theme="9" tint="-0.499984740745262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b/>
      <sz val="9"/>
      <name val="Arial"/>
      <family val="2"/>
      <charset val="1"/>
    </font>
    <font>
      <b/>
      <u/>
      <sz val="9"/>
      <name val="Arial"/>
      <family val="2"/>
      <charset val="1"/>
    </font>
    <font>
      <sz val="9"/>
      <name val="Arial"/>
      <family val="2"/>
      <charset val="1"/>
    </font>
    <font>
      <sz val="9"/>
      <color rgb="FFFF0000"/>
      <name val="Arial"/>
      <family val="2"/>
      <charset val="1"/>
    </font>
    <font>
      <sz val="11"/>
      <color theme="1"/>
      <name val="Calibri"/>
      <family val="2"/>
      <charset val="1"/>
    </font>
    <font>
      <b/>
      <sz val="10"/>
      <color theme="1"/>
      <name val="Open Sans"/>
      <family val="2"/>
    </font>
    <font>
      <sz val="10"/>
      <name val="Open Sans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0"/>
      <name val="Calibri"/>
      <family val="2"/>
      <charset val="1"/>
    </font>
  </fonts>
  <fills count="6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767171"/>
      </patternFill>
    </fill>
    <fill>
      <patternFill patternType="solid">
        <fgColor rgb="FFDDDDDD"/>
        <bgColor rgb="FFDBDBDB"/>
      </patternFill>
    </fill>
    <fill>
      <patternFill patternType="solid">
        <fgColor rgb="FFFFCCCC"/>
        <bgColor rgb="FFFFD7D7"/>
      </patternFill>
    </fill>
    <fill>
      <patternFill patternType="solid">
        <fgColor rgb="FFCC0000"/>
        <bgColor rgb="FFC9211E"/>
      </patternFill>
    </fill>
    <fill>
      <patternFill patternType="solid">
        <fgColor rgb="FFCCFFCC"/>
        <bgColor rgb="FFE2F0D9"/>
      </patternFill>
    </fill>
    <fill>
      <patternFill patternType="solid">
        <fgColor rgb="FFFFFFCC"/>
        <bgColor rgb="FFFFFFD7"/>
      </patternFill>
    </fill>
    <fill>
      <patternFill patternType="solid">
        <fgColor theme="8" tint="0.59959715567491678"/>
        <bgColor rgb="FFBDD7EE"/>
      </patternFill>
    </fill>
    <fill>
      <patternFill patternType="solid">
        <fgColor theme="7" tint="0.79979857783745845"/>
        <bgColor rgb="FFFFFFCC"/>
      </patternFill>
    </fill>
    <fill>
      <patternFill patternType="solid">
        <fgColor theme="7" tint="0.59959715567491678"/>
        <bgColor rgb="FFFFE994"/>
      </patternFill>
    </fill>
    <fill>
      <patternFill patternType="solid">
        <fgColor theme="5" tint="0.79979857783745845"/>
        <bgColor rgb="FFFFD8CE"/>
      </patternFill>
    </fill>
    <fill>
      <patternFill patternType="solid">
        <fgColor theme="5" tint="0.59959715567491678"/>
        <bgColor rgb="FFFFCCCC"/>
      </patternFill>
    </fill>
    <fill>
      <patternFill patternType="solid">
        <fgColor theme="9" tint="0.79979857783745845"/>
        <bgColor rgb="FFE7E6E6"/>
      </patternFill>
    </fill>
    <fill>
      <patternFill patternType="solid">
        <fgColor theme="9" tint="0.59959715567491678"/>
        <bgColor rgb="FFC5E0B4"/>
      </patternFill>
    </fill>
    <fill>
      <patternFill patternType="solid">
        <fgColor rgb="FFFFFF00"/>
        <bgColor rgb="FFFFD966"/>
      </patternFill>
    </fill>
    <fill>
      <patternFill patternType="solid">
        <fgColor theme="4" tint="0.59959715567491678"/>
        <bgColor rgb="FFB4C7E7"/>
      </patternFill>
    </fill>
    <fill>
      <patternFill patternType="solid">
        <fgColor rgb="FFFFFFD7"/>
        <bgColor rgb="FFFFFFCC"/>
      </patternFill>
    </fill>
    <fill>
      <patternFill patternType="solid">
        <fgColor theme="6" tint="0.79979857783745845"/>
        <bgColor rgb="FFEEEEEE"/>
      </patternFill>
    </fill>
    <fill>
      <patternFill patternType="solid">
        <fgColor theme="8" tint="0.79979857783745845"/>
        <bgColor rgb="FFDEEBF7"/>
      </patternFill>
    </fill>
    <fill>
      <patternFill patternType="solid">
        <fgColor rgb="FFFFE994"/>
        <bgColor rgb="FFFFE699"/>
      </patternFill>
    </fill>
    <fill>
      <patternFill patternType="solid">
        <fgColor rgb="FFDEEBF7"/>
        <bgColor rgb="FFDAE3F3"/>
      </patternFill>
    </fill>
    <fill>
      <patternFill patternType="solid">
        <fgColor rgb="FFFFCCFF"/>
        <bgColor rgb="FFFFD7D7"/>
      </patternFill>
    </fill>
    <fill>
      <patternFill patternType="solid">
        <fgColor theme="9" tint="0.59978026673177287"/>
        <bgColor rgb="FFC5E0B3"/>
      </patternFill>
    </fill>
    <fill>
      <patternFill patternType="solid">
        <fgColor rgb="FFE8F2A1"/>
        <bgColor rgb="FFFFE994"/>
      </patternFill>
    </fill>
    <fill>
      <patternFill patternType="solid">
        <fgColor rgb="FFEEEEEE"/>
        <bgColor rgb="FFEDEDED"/>
      </patternFill>
    </fill>
    <fill>
      <patternFill patternType="solid">
        <fgColor rgb="FFFF0000"/>
        <bgColor rgb="FFCC0000"/>
      </patternFill>
    </fill>
    <fill>
      <patternFill patternType="solid">
        <fgColor rgb="FFFFFFFF"/>
        <bgColor rgb="FFFFFFD7"/>
      </patternFill>
    </fill>
    <fill>
      <patternFill patternType="solid">
        <fgColor rgb="FFEBF1F8"/>
        <bgColor rgb="FFEEEEEE"/>
      </patternFill>
    </fill>
    <fill>
      <patternFill patternType="solid">
        <fgColor rgb="FFDC85E9"/>
        <bgColor rgb="FFCC99FF"/>
      </patternFill>
    </fill>
    <fill>
      <patternFill patternType="solid">
        <fgColor theme="2"/>
        <bgColor rgb="FFEDEDED"/>
      </patternFill>
    </fill>
    <fill>
      <patternFill patternType="solid">
        <fgColor rgb="FF8FAADC"/>
        <bgColor rgb="FFA5A5A5"/>
      </patternFill>
    </fill>
    <fill>
      <patternFill patternType="solid">
        <fgColor rgb="FFFFD8CE"/>
        <bgColor rgb="FFFFD7D7"/>
      </patternFill>
    </fill>
    <fill>
      <patternFill patternType="solid">
        <fgColor rgb="FFCC99FF"/>
        <bgColor rgb="FFDC85E9"/>
      </patternFill>
    </fill>
    <fill>
      <patternFill patternType="solid">
        <fgColor theme="6" tint="0.59959715567491678"/>
        <bgColor rgb="FFD9D9D9"/>
      </patternFill>
    </fill>
    <fill>
      <patternFill patternType="solid">
        <fgColor theme="0" tint="-0.14999847407452621"/>
        <bgColor rgb="FFDBDBDB"/>
      </patternFill>
    </fill>
    <fill>
      <patternFill patternType="solid">
        <fgColor rgb="FFCCCCCC"/>
        <bgColor rgb="FFD9D9D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rgb="FFFFCC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EEEEEE"/>
      </patternFill>
    </fill>
    <fill>
      <patternFill patternType="solid">
        <fgColor theme="0"/>
        <bgColor rgb="FFFFD8CE"/>
      </patternFill>
    </fill>
    <fill>
      <patternFill patternType="solid">
        <fgColor theme="0"/>
        <bgColor rgb="FFDEEBF7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FFE994"/>
      </patternFill>
    </fill>
    <fill>
      <patternFill patternType="solid">
        <fgColor theme="0"/>
        <bgColor rgb="FFFFE699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rgb="FFFFD7D7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EDEDED"/>
      </patternFill>
    </fill>
    <fill>
      <patternFill patternType="solid">
        <fgColor theme="0"/>
        <bgColor rgb="FFCC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DEDED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D7D7"/>
      </patternFill>
    </fill>
    <fill>
      <patternFill patternType="solid">
        <fgColor theme="4" tint="0.79998168889431442"/>
        <bgColor rgb="FFDEEBF7"/>
      </patternFill>
    </fill>
  </fills>
  <borders count="2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rgb="FFEEEEEE"/>
      </top>
      <bottom style="thin">
        <color rgb="FFEEEEEE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50938A"/>
      </left>
      <right style="thin">
        <color rgb="FF50938A"/>
      </right>
      <top style="thin">
        <color rgb="FF50938A"/>
      </top>
      <bottom/>
      <diagonal/>
    </border>
    <border>
      <left style="thin">
        <color rgb="FF50938A"/>
      </left>
      <right style="thin">
        <color rgb="FF50938A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EEEEEE"/>
      </bottom>
      <diagonal/>
    </border>
    <border>
      <left style="thin">
        <color rgb="FF50938A"/>
      </left>
      <right style="thin">
        <color rgb="FF50938A"/>
      </right>
      <top/>
      <bottom/>
      <diagonal/>
    </border>
    <border>
      <left/>
      <right/>
      <top style="thin">
        <color rgb="FFEEEEEE"/>
      </top>
      <bottom style="thin">
        <color auto="1"/>
      </bottom>
      <diagonal/>
    </border>
    <border>
      <left/>
      <right/>
      <top/>
      <bottom style="thin">
        <color rgb="FFEEEEEE"/>
      </bottom>
      <diagonal/>
    </border>
    <border>
      <left style="thin">
        <color rgb="FF50938A"/>
      </left>
      <right style="thin">
        <color rgb="FF50938A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EEEEEE"/>
      </top>
      <bottom style="thin">
        <color rgb="FFEEEEEE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EEEEEE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7">
    <xf numFmtId="0" fontId="0" fillId="0" borderId="0"/>
    <xf numFmtId="182" fontId="67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67" fillId="0" borderId="0" applyBorder="0" applyProtection="0"/>
    <xf numFmtId="0" fontId="1" fillId="6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164" fontId="67" fillId="0" borderId="0" applyBorder="0" applyProtection="0"/>
    <xf numFmtId="0" fontId="10" fillId="8" borderId="0" applyBorder="0" applyProtection="0"/>
    <xf numFmtId="0" fontId="11" fillId="8" borderId="1" applyProtection="0"/>
    <xf numFmtId="165" fontId="12" fillId="0" borderId="0" applyBorder="0" applyProtection="0"/>
    <xf numFmtId="0" fontId="13" fillId="0" borderId="0" applyBorder="0" applyProtection="0"/>
    <xf numFmtId="0" fontId="14" fillId="0" borderId="0" applyBorder="0" applyProtection="0"/>
    <xf numFmtId="0" fontId="12" fillId="0" borderId="0"/>
    <xf numFmtId="0" fontId="15" fillId="0" borderId="0"/>
    <xf numFmtId="166" fontId="16" fillId="0" borderId="0"/>
    <xf numFmtId="0" fontId="67" fillId="0" borderId="0" applyBorder="0" applyProtection="0"/>
    <xf numFmtId="0" fontId="67" fillId="0" borderId="0" applyBorder="0" applyProtection="0"/>
    <xf numFmtId="0" fontId="3" fillId="0" borderId="0" applyBorder="0" applyProtection="0"/>
  </cellStyleXfs>
  <cellXfs count="1068">
    <xf numFmtId="0" fontId="0" fillId="0" borderId="0" xfId="0"/>
    <xf numFmtId="0" fontId="0" fillId="0" borderId="0" xfId="0" applyAlignment="1">
      <alignment wrapText="1"/>
    </xf>
    <xf numFmtId="0" fontId="17" fillId="0" borderId="0" xfId="0" applyFont="1"/>
    <xf numFmtId="0" fontId="17" fillId="0" borderId="0" xfId="0" applyFont="1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/>
    <xf numFmtId="0" fontId="0" fillId="9" borderId="0" xfId="0" applyFill="1"/>
    <xf numFmtId="4" fontId="0" fillId="9" borderId="0" xfId="0" applyNumberFormat="1" applyFill="1"/>
    <xf numFmtId="4" fontId="0" fillId="10" borderId="0" xfId="0" applyNumberFormat="1" applyFill="1"/>
    <xf numFmtId="4" fontId="0" fillId="11" borderId="0" xfId="0" applyNumberFormat="1" applyFill="1"/>
    <xf numFmtId="4" fontId="0" fillId="12" borderId="0" xfId="0" applyNumberFormat="1" applyFill="1"/>
    <xf numFmtId="4" fontId="0" fillId="13" borderId="0" xfId="0" applyNumberFormat="1" applyFill="1"/>
    <xf numFmtId="4" fontId="0" fillId="14" borderId="0" xfId="0" applyNumberFormat="1" applyFill="1"/>
    <xf numFmtId="4" fontId="0" fillId="15" borderId="0" xfId="0" applyNumberFormat="1" applyFill="1"/>
    <xf numFmtId="0" fontId="0" fillId="0" borderId="0" xfId="0" applyAlignment="1">
      <alignment vertical="center" wrapText="1"/>
    </xf>
    <xf numFmtId="167" fontId="0" fillId="16" borderId="0" xfId="0" applyNumberFormat="1" applyFill="1"/>
    <xf numFmtId="167" fontId="0" fillId="0" borderId="0" xfId="0" applyNumberFormat="1"/>
    <xf numFmtId="4" fontId="0" fillId="16" borderId="0" xfId="0" applyNumberFormat="1" applyFill="1"/>
    <xf numFmtId="4" fontId="18" fillId="0" borderId="0" xfId="0" applyNumberFormat="1" applyFont="1"/>
    <xf numFmtId="4" fontId="0" fillId="17" borderId="0" xfId="0" applyNumberFormat="1" applyFill="1"/>
    <xf numFmtId="4" fontId="19" fillId="0" borderId="0" xfId="0" applyNumberFormat="1" applyFont="1"/>
    <xf numFmtId="0" fontId="22" fillId="0" borderId="0" xfId="0" applyFont="1" applyAlignment="1">
      <alignment vertical="center"/>
    </xf>
    <xf numFmtId="37" fontId="22" fillId="0" borderId="0" xfId="0" applyNumberFormat="1" applyFont="1" applyAlignment="1">
      <alignment horizontal="right" vertical="center"/>
    </xf>
    <xf numFmtId="37" fontId="22" fillId="0" borderId="0" xfId="0" applyNumberFormat="1" applyFont="1" applyAlignment="1">
      <alignment vertical="center"/>
    </xf>
    <xf numFmtId="37" fontId="22" fillId="0" borderId="0" xfId="0" applyNumberFormat="1" applyFont="1" applyAlignment="1">
      <alignment horizontal="center" vertical="center"/>
    </xf>
    <xf numFmtId="37" fontId="23" fillId="0" borderId="0" xfId="0" applyNumberFormat="1" applyFont="1" applyAlignment="1">
      <alignment vertical="center"/>
    </xf>
    <xf numFmtId="0" fontId="22" fillId="26" borderId="0" xfId="0" applyFont="1" applyFill="1"/>
    <xf numFmtId="3" fontId="28" fillId="25" borderId="0" xfId="21" applyNumberFormat="1" applyFont="1" applyFill="1"/>
    <xf numFmtId="0" fontId="22" fillId="27" borderId="0" xfId="0" applyFont="1" applyFill="1"/>
    <xf numFmtId="0" fontId="22" fillId="0" borderId="0" xfId="0" applyFont="1"/>
    <xf numFmtId="0" fontId="22" fillId="0" borderId="0" xfId="0" applyFont="1" applyAlignment="1">
      <alignment horizontal="right"/>
    </xf>
    <xf numFmtId="37" fontId="31" fillId="0" borderId="0" xfId="0" applyNumberFormat="1" applyFont="1"/>
    <xf numFmtId="3" fontId="22" fillId="0" borderId="0" xfId="0" applyNumberFormat="1" applyFont="1"/>
    <xf numFmtId="4" fontId="27" fillId="0" borderId="0" xfId="0" applyNumberFormat="1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174" fontId="22" fillId="0" borderId="0" xfId="0" applyNumberFormat="1" applyFont="1" applyAlignment="1">
      <alignment horizontal="center"/>
    </xf>
    <xf numFmtId="37" fontId="32" fillId="0" borderId="0" xfId="0" applyNumberFormat="1" applyFont="1" applyAlignment="1">
      <alignment horizontal="center"/>
    </xf>
    <xf numFmtId="0" fontId="23" fillId="19" borderId="0" xfId="0" applyFont="1" applyFill="1" applyAlignment="1">
      <alignment horizontal="center"/>
    </xf>
    <xf numFmtId="0" fontId="23" fillId="12" borderId="0" xfId="0" applyFont="1" applyFill="1" applyAlignment="1">
      <alignment horizontal="center"/>
    </xf>
    <xf numFmtId="0" fontId="23" fillId="12" borderId="0" xfId="0" applyFont="1" applyFill="1" applyAlignment="1">
      <alignment horizontal="center" vertical="center"/>
    </xf>
    <xf numFmtId="0" fontId="23" fillId="20" borderId="0" xfId="0" applyFont="1" applyFill="1" applyAlignment="1">
      <alignment horizontal="center" vertical="center"/>
    </xf>
    <xf numFmtId="169" fontId="22" fillId="0" borderId="0" xfId="0" applyNumberFormat="1" applyFont="1" applyAlignment="1">
      <alignment horizontal="left"/>
    </xf>
    <xf numFmtId="0" fontId="33" fillId="0" borderId="10" xfId="0" applyFont="1" applyBorder="1" applyAlignment="1">
      <alignment horizontal="right" wrapText="1"/>
    </xf>
    <xf numFmtId="175" fontId="23" fillId="0" borderId="10" xfId="0" applyNumberFormat="1" applyFont="1" applyBorder="1" applyAlignment="1">
      <alignment horizontal="right" wrapText="1"/>
    </xf>
    <xf numFmtId="175" fontId="23" fillId="0" borderId="10" xfId="0" applyNumberFormat="1" applyFont="1" applyBorder="1" applyAlignment="1">
      <alignment horizontal="right"/>
    </xf>
    <xf numFmtId="0" fontId="23" fillId="0" borderId="11" xfId="0" applyFont="1" applyBorder="1" applyAlignment="1">
      <alignment wrapText="1"/>
    </xf>
    <xf numFmtId="37" fontId="34" fillId="0" borderId="0" xfId="0" applyNumberFormat="1" applyFont="1"/>
    <xf numFmtId="0" fontId="22" fillId="12" borderId="0" xfId="0" applyFont="1" applyFill="1"/>
    <xf numFmtId="3" fontId="22" fillId="0" borderId="0" xfId="0" applyNumberFormat="1" applyFont="1" applyAlignment="1">
      <alignment horizontal="center" vertical="center"/>
    </xf>
    <xf numFmtId="37" fontId="22" fillId="20" borderId="0" xfId="0" applyNumberFormat="1" applyFont="1" applyFill="1" applyAlignment="1">
      <alignment horizontal="center" vertical="center"/>
    </xf>
    <xf numFmtId="0" fontId="23" fillId="0" borderId="10" xfId="0" applyFont="1" applyBorder="1"/>
    <xf numFmtId="3" fontId="33" fillId="0" borderId="10" xfId="0" applyNumberFormat="1" applyFont="1" applyBorder="1" applyAlignment="1">
      <alignment horizontal="right"/>
    </xf>
    <xf numFmtId="3" fontId="23" fillId="0" borderId="10" xfId="0" applyNumberFormat="1" applyFont="1" applyBorder="1" applyAlignment="1">
      <alignment horizontal="right"/>
    </xf>
    <xf numFmtId="3" fontId="23" fillId="0" borderId="12" xfId="0" applyNumberFormat="1" applyFont="1" applyBorder="1" applyAlignment="1">
      <alignment horizontal="right"/>
    </xf>
    <xf numFmtId="37" fontId="34" fillId="0" borderId="10" xfId="0" applyNumberFormat="1" applyFont="1" applyBorder="1"/>
    <xf numFmtId="0" fontId="22" fillId="0" borderId="10" xfId="0" applyFont="1" applyBorder="1"/>
    <xf numFmtId="175" fontId="22" fillId="0" borderId="10" xfId="0" applyNumberFormat="1" applyFont="1" applyBorder="1"/>
    <xf numFmtId="0" fontId="22" fillId="12" borderId="10" xfId="0" applyFont="1" applyFill="1" applyBorder="1"/>
    <xf numFmtId="3" fontId="22" fillId="0" borderId="10" xfId="0" applyNumberFormat="1" applyFont="1" applyBorder="1"/>
    <xf numFmtId="0" fontId="22" fillId="20" borderId="10" xfId="0" applyFont="1" applyFill="1" applyBorder="1"/>
    <xf numFmtId="0" fontId="35" fillId="0" borderId="0" xfId="0" applyFont="1"/>
    <xf numFmtId="0" fontId="35" fillId="0" borderId="13" xfId="0" applyFont="1" applyBorder="1" applyAlignment="1">
      <alignment horizontal="left"/>
    </xf>
    <xf numFmtId="3" fontId="36" fillId="0" borderId="13" xfId="0" applyNumberFormat="1" applyFont="1" applyBorder="1"/>
    <xf numFmtId="3" fontId="35" fillId="0" borderId="13" xfId="0" applyNumberFormat="1" applyFont="1" applyBorder="1"/>
    <xf numFmtId="3" fontId="35" fillId="0" borderId="14" xfId="0" applyNumberFormat="1" applyFont="1" applyBorder="1"/>
    <xf numFmtId="37" fontId="37" fillId="0" borderId="13" xfId="0" applyNumberFormat="1" applyFont="1" applyBorder="1"/>
    <xf numFmtId="0" fontId="35" fillId="12" borderId="7" xfId="0" applyFont="1" applyFill="1" applyBorder="1"/>
    <xf numFmtId="3" fontId="22" fillId="0" borderId="7" xfId="0" applyNumberFormat="1" applyFont="1" applyBorder="1"/>
    <xf numFmtId="3" fontId="35" fillId="20" borderId="13" xfId="0" applyNumberFormat="1" applyFont="1" applyFill="1" applyBorder="1"/>
    <xf numFmtId="4" fontId="36" fillId="0" borderId="0" xfId="0" applyNumberFormat="1" applyFont="1" applyAlignment="1">
      <alignment horizontal="right"/>
    </xf>
    <xf numFmtId="0" fontId="22" fillId="0" borderId="0" xfId="0" applyFont="1" applyAlignment="1">
      <alignment horizontal="left"/>
    </xf>
    <xf numFmtId="3" fontId="27" fillId="0" borderId="0" xfId="0" applyNumberFormat="1" applyFont="1"/>
    <xf numFmtId="3" fontId="22" fillId="25" borderId="0" xfId="0" applyNumberFormat="1" applyFont="1" applyFill="1"/>
    <xf numFmtId="3" fontId="22" fillId="25" borderId="14" xfId="0" applyNumberFormat="1" applyFont="1" applyFill="1" applyBorder="1"/>
    <xf numFmtId="3" fontId="22" fillId="20" borderId="0" xfId="0" applyNumberFormat="1" applyFont="1" applyFill="1"/>
    <xf numFmtId="0" fontId="22" fillId="0" borderId="7" xfId="0" applyFont="1" applyBorder="1" applyAlignment="1">
      <alignment horizontal="left"/>
    </xf>
    <xf numFmtId="3" fontId="27" fillId="0" borderId="7" xfId="0" applyNumberFormat="1" applyFont="1" applyBorder="1"/>
    <xf numFmtId="3" fontId="22" fillId="4" borderId="14" xfId="0" applyNumberFormat="1" applyFont="1" applyFill="1" applyBorder="1"/>
    <xf numFmtId="175" fontId="22" fillId="12" borderId="7" xfId="0" applyNumberFormat="1" applyFont="1" applyFill="1" applyBorder="1"/>
    <xf numFmtId="3" fontId="22" fillId="20" borderId="7" xfId="0" applyNumberFormat="1" applyFont="1" applyFill="1" applyBorder="1"/>
    <xf numFmtId="3" fontId="22" fillId="4" borderId="7" xfId="0" applyNumberFormat="1" applyFont="1" applyFill="1" applyBorder="1"/>
    <xf numFmtId="0" fontId="22" fillId="0" borderId="7" xfId="0" applyFont="1" applyBorder="1"/>
    <xf numFmtId="3" fontId="22" fillId="0" borderId="14" xfId="0" applyNumberFormat="1" applyFont="1" applyBorder="1"/>
    <xf numFmtId="3" fontId="22" fillId="28" borderId="14" xfId="0" applyNumberFormat="1" applyFont="1" applyFill="1" applyBorder="1"/>
    <xf numFmtId="3" fontId="38" fillId="0" borderId="0" xfId="0" applyNumberFormat="1" applyFont="1"/>
    <xf numFmtId="3" fontId="27" fillId="0" borderId="7" xfId="0" applyNumberFormat="1" applyFont="1" applyBorder="1" applyAlignment="1">
      <alignment horizontal="right"/>
    </xf>
    <xf numFmtId="0" fontId="35" fillId="0" borderId="0" xfId="0" applyFont="1" applyAlignment="1">
      <alignment horizontal="left"/>
    </xf>
    <xf numFmtId="0" fontId="35" fillId="0" borderId="7" xfId="0" applyFont="1" applyBorder="1"/>
    <xf numFmtId="3" fontId="36" fillId="0" borderId="7" xfId="0" applyNumberFormat="1" applyFont="1" applyBorder="1"/>
    <xf numFmtId="3" fontId="35" fillId="4" borderId="7" xfId="0" applyNumberFormat="1" applyFont="1" applyFill="1" applyBorder="1"/>
    <xf numFmtId="3" fontId="35" fillId="0" borderId="7" xfId="0" applyNumberFormat="1" applyFont="1" applyBorder="1"/>
    <xf numFmtId="37" fontId="37" fillId="0" borderId="0" xfId="0" applyNumberFormat="1" applyFont="1"/>
    <xf numFmtId="175" fontId="35" fillId="12" borderId="7" xfId="0" applyNumberFormat="1" applyFont="1" applyFill="1" applyBorder="1"/>
    <xf numFmtId="3" fontId="35" fillId="20" borderId="7" xfId="0" applyNumberFormat="1" applyFont="1" applyFill="1" applyBorder="1"/>
    <xf numFmtId="175" fontId="35" fillId="0" borderId="15" xfId="0" applyNumberFormat="1" applyFont="1" applyBorder="1" applyAlignment="1">
      <alignment horizontal="left"/>
    </xf>
    <xf numFmtId="3" fontId="36" fillId="0" borderId="15" xfId="0" applyNumberFormat="1" applyFont="1" applyBorder="1"/>
    <xf numFmtId="3" fontId="35" fillId="4" borderId="15" xfId="0" applyNumberFormat="1" applyFont="1" applyFill="1" applyBorder="1"/>
    <xf numFmtId="3" fontId="35" fillId="0" borderId="15" xfId="0" applyNumberFormat="1" applyFont="1" applyBorder="1"/>
    <xf numFmtId="3" fontId="35" fillId="4" borderId="14" xfId="0" applyNumberFormat="1" applyFont="1" applyFill="1" applyBorder="1"/>
    <xf numFmtId="3" fontId="35" fillId="0" borderId="16" xfId="0" applyNumberFormat="1" applyFont="1" applyBorder="1"/>
    <xf numFmtId="3" fontId="35" fillId="20" borderId="16" xfId="0" applyNumberFormat="1" applyFont="1" applyFill="1" applyBorder="1"/>
    <xf numFmtId="3" fontId="35" fillId="0" borderId="17" xfId="0" applyNumberFormat="1" applyFont="1" applyBorder="1"/>
    <xf numFmtId="175" fontId="35" fillId="12" borderId="15" xfId="0" applyNumberFormat="1" applyFont="1" applyFill="1" applyBorder="1"/>
    <xf numFmtId="3" fontId="35" fillId="0" borderId="0" xfId="0" applyNumberFormat="1" applyFont="1"/>
    <xf numFmtId="3" fontId="35" fillId="20" borderId="0" xfId="0" applyNumberFormat="1" applyFont="1" applyFill="1"/>
    <xf numFmtId="0" fontId="23" fillId="0" borderId="13" xfId="0" applyFont="1" applyBorder="1"/>
    <xf numFmtId="175" fontId="27" fillId="0" borderId="13" xfId="0" applyNumberFormat="1" applyFont="1" applyBorder="1" applyAlignment="1">
      <alignment horizontal="right"/>
    </xf>
    <xf numFmtId="14" fontId="22" fillId="0" borderId="13" xfId="0" applyNumberFormat="1" applyFont="1" applyBorder="1"/>
    <xf numFmtId="0" fontId="22" fillId="0" borderId="13" xfId="0" applyFont="1" applyBorder="1"/>
    <xf numFmtId="14" fontId="22" fillId="0" borderId="14" xfId="0" applyNumberFormat="1" applyFont="1" applyBorder="1"/>
    <xf numFmtId="37" fontId="34" fillId="0" borderId="13" xfId="0" applyNumberFormat="1" applyFont="1" applyBorder="1"/>
    <xf numFmtId="175" fontId="22" fillId="0" borderId="13" xfId="0" applyNumberFormat="1" applyFont="1" applyBorder="1"/>
    <xf numFmtId="175" fontId="22" fillId="12" borderId="13" xfId="0" applyNumberFormat="1" applyFont="1" applyFill="1" applyBorder="1"/>
    <xf numFmtId="3" fontId="22" fillId="0" borderId="13" xfId="0" applyNumberFormat="1" applyFont="1" applyBorder="1"/>
    <xf numFmtId="3" fontId="22" fillId="20" borderId="13" xfId="0" applyNumberFormat="1" applyFont="1" applyFill="1" applyBorder="1"/>
    <xf numFmtId="3" fontId="33" fillId="0" borderId="13" xfId="0" applyNumberFormat="1" applyFont="1" applyBorder="1" applyAlignment="1">
      <alignment horizontal="right"/>
    </xf>
    <xf numFmtId="3" fontId="23" fillId="0" borderId="10" xfId="0" applyNumberFormat="1" applyFont="1" applyBorder="1"/>
    <xf numFmtId="3" fontId="23" fillId="0" borderId="13" xfId="0" applyNumberFormat="1" applyFont="1" applyBorder="1"/>
    <xf numFmtId="3" fontId="26" fillId="0" borderId="12" xfId="0" applyNumberFormat="1" applyFont="1" applyBorder="1" applyAlignment="1">
      <alignment horizontal="right"/>
    </xf>
    <xf numFmtId="175" fontId="22" fillId="12" borderId="10" xfId="0" applyNumberFormat="1" applyFont="1" applyFill="1" applyBorder="1"/>
    <xf numFmtId="3" fontId="27" fillId="0" borderId="13" xfId="0" applyNumberFormat="1" applyFont="1" applyBorder="1" applyAlignment="1">
      <alignment horizontal="right"/>
    </xf>
    <xf numFmtId="3" fontId="22" fillId="0" borderId="14" xfId="0" applyNumberFormat="1" applyFont="1" applyBorder="1" applyAlignment="1">
      <alignment horizontal="right"/>
    </xf>
    <xf numFmtId="176" fontId="39" fillId="29" borderId="2" xfId="0" applyNumberFormat="1" applyFont="1" applyFill="1" applyBorder="1" applyAlignment="1">
      <alignment horizontal="right" vertical="distributed" wrapText="1"/>
    </xf>
    <xf numFmtId="3" fontId="22" fillId="4" borderId="14" xfId="0" applyNumberFormat="1" applyFont="1" applyFill="1" applyBorder="1" applyAlignment="1">
      <alignment horizontal="right"/>
    </xf>
    <xf numFmtId="37" fontId="34" fillId="0" borderId="7" xfId="0" applyNumberFormat="1" applyFont="1" applyBorder="1"/>
    <xf numFmtId="0" fontId="24" fillId="0" borderId="7" xfId="0" applyFont="1" applyBorder="1"/>
    <xf numFmtId="3" fontId="24" fillId="0" borderId="7" xfId="0" applyNumberFormat="1" applyFont="1" applyBorder="1"/>
    <xf numFmtId="176" fontId="39" fillId="28" borderId="2" xfId="0" applyNumberFormat="1" applyFont="1" applyFill="1" applyBorder="1" applyAlignment="1">
      <alignment horizontal="right" vertical="distributed" wrapText="1"/>
    </xf>
    <xf numFmtId="3" fontId="22" fillId="0" borderId="18" xfId="0" applyNumberFormat="1" applyFont="1" applyBorder="1" applyAlignment="1">
      <alignment horizontal="right"/>
    </xf>
    <xf numFmtId="3" fontId="22" fillId="25" borderId="7" xfId="0" applyNumberFormat="1" applyFont="1" applyFill="1" applyBorder="1"/>
    <xf numFmtId="0" fontId="38" fillId="0" borderId="0" xfId="0" applyFont="1"/>
    <xf numFmtId="3" fontId="22" fillId="0" borderId="17" xfId="0" applyNumberFormat="1" applyFont="1" applyBorder="1" applyAlignment="1">
      <alignment horizontal="right"/>
    </xf>
    <xf numFmtId="3" fontId="27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right"/>
    </xf>
    <xf numFmtId="175" fontId="22" fillId="12" borderId="0" xfId="0" applyNumberFormat="1" applyFont="1" applyFill="1"/>
    <xf numFmtId="3" fontId="25" fillId="0" borderId="0" xfId="0" applyNumberFormat="1" applyFont="1"/>
    <xf numFmtId="0" fontId="23" fillId="0" borderId="5" xfId="0" applyFont="1" applyBorder="1"/>
    <xf numFmtId="3" fontId="33" fillId="0" borderId="5" xfId="0" applyNumberFormat="1" applyFont="1" applyBorder="1" applyAlignment="1">
      <alignment horizontal="right"/>
    </xf>
    <xf numFmtId="3" fontId="23" fillId="0" borderId="5" xfId="0" applyNumberFormat="1" applyFont="1" applyBorder="1" applyAlignment="1">
      <alignment horizontal="right"/>
    </xf>
    <xf numFmtId="37" fontId="41" fillId="0" borderId="10" xfId="0" applyNumberFormat="1" applyFont="1" applyBorder="1"/>
    <xf numFmtId="3" fontId="42" fillId="19" borderId="0" xfId="0" applyNumberFormat="1" applyFont="1" applyFill="1"/>
    <xf numFmtId="175" fontId="42" fillId="12" borderId="0" xfId="0" applyNumberFormat="1" applyFont="1" applyFill="1"/>
    <xf numFmtId="3" fontId="42" fillId="12" borderId="0" xfId="0" applyNumberFormat="1" applyFont="1" applyFill="1"/>
    <xf numFmtId="4" fontId="33" fillId="0" borderId="0" xfId="0" applyNumberFormat="1" applyFont="1" applyAlignment="1">
      <alignment horizontal="right"/>
    </xf>
    <xf numFmtId="37" fontId="43" fillId="0" borderId="0" xfId="0" applyNumberFormat="1" applyFont="1"/>
    <xf numFmtId="3" fontId="42" fillId="0" borderId="0" xfId="0" applyNumberFormat="1" applyFont="1"/>
    <xf numFmtId="175" fontId="42" fillId="0" borderId="0" xfId="0" applyNumberFormat="1" applyFont="1"/>
    <xf numFmtId="3" fontId="42" fillId="20" borderId="0" xfId="0" applyNumberFormat="1" applyFont="1" applyFill="1"/>
    <xf numFmtId="0" fontId="23" fillId="16" borderId="10" xfId="0" applyFont="1" applyFill="1" applyBorder="1"/>
    <xf numFmtId="0" fontId="23" fillId="0" borderId="10" xfId="0" applyFont="1" applyBorder="1" applyAlignment="1">
      <alignment horizontal="right"/>
    </xf>
    <xf numFmtId="167" fontId="23" fillId="0" borderId="10" xfId="0" applyNumberFormat="1" applyFont="1" applyBorder="1"/>
    <xf numFmtId="167" fontId="32" fillId="0" borderId="10" xfId="0" applyNumberFormat="1" applyFont="1" applyBorder="1"/>
    <xf numFmtId="3" fontId="23" fillId="26" borderId="10" xfId="0" applyNumberFormat="1" applyFont="1" applyFill="1" applyBorder="1"/>
    <xf numFmtId="0" fontId="23" fillId="12" borderId="10" xfId="0" applyFont="1" applyFill="1" applyBorder="1"/>
    <xf numFmtId="3" fontId="23" fillId="12" borderId="10" xfId="0" applyNumberFormat="1" applyFont="1" applyFill="1" applyBorder="1"/>
    <xf numFmtId="3" fontId="23" fillId="20" borderId="10" xfId="0" applyNumberFormat="1" applyFont="1" applyFill="1" applyBorder="1"/>
    <xf numFmtId="167" fontId="23" fillId="0" borderId="0" xfId="0" applyNumberFormat="1" applyFont="1"/>
    <xf numFmtId="3" fontId="44" fillId="0" borderId="5" xfId="0" applyNumberFormat="1" applyFont="1" applyBorder="1" applyAlignment="1">
      <alignment horizontal="right"/>
    </xf>
    <xf numFmtId="37" fontId="22" fillId="0" borderId="19" xfId="0" applyNumberFormat="1" applyFont="1" applyBorder="1" applyAlignment="1">
      <alignment horizontal="right"/>
    </xf>
    <xf numFmtId="3" fontId="22" fillId="0" borderId="13" xfId="0" applyNumberFormat="1" applyFont="1" applyBorder="1" applyAlignment="1">
      <alignment horizontal="right"/>
    </xf>
    <xf numFmtId="0" fontId="22" fillId="0" borderId="7" xfId="0" applyFont="1" applyBorder="1" applyAlignment="1">
      <alignment horizontal="right"/>
    </xf>
    <xf numFmtId="175" fontId="22" fillId="0" borderId="0" xfId="0" applyNumberFormat="1" applyFont="1"/>
    <xf numFmtId="175" fontId="22" fillId="0" borderId="7" xfId="0" applyNumberFormat="1" applyFont="1" applyBorder="1"/>
    <xf numFmtId="0" fontId="38" fillId="0" borderId="7" xfId="0" applyFont="1" applyBorder="1"/>
    <xf numFmtId="3" fontId="44" fillId="0" borderId="0" xfId="0" applyNumberFormat="1" applyFont="1" applyAlignment="1">
      <alignment horizontal="right"/>
    </xf>
    <xf numFmtId="37" fontId="22" fillId="0" borderId="20" xfId="0" applyNumberFormat="1" applyFont="1" applyBorder="1" applyAlignment="1">
      <alignment horizontal="right"/>
    </xf>
    <xf numFmtId="3" fontId="22" fillId="0" borderId="7" xfId="0" applyNumberFormat="1" applyFont="1" applyBorder="1" applyAlignment="1">
      <alignment horizontal="right"/>
    </xf>
    <xf numFmtId="0" fontId="22" fillId="0" borderId="15" xfId="0" applyFont="1" applyBorder="1"/>
    <xf numFmtId="3" fontId="44" fillId="0" borderId="3" xfId="0" applyNumberFormat="1" applyFont="1" applyBorder="1" applyAlignment="1">
      <alignment horizontal="right"/>
    </xf>
    <xf numFmtId="37" fontId="22" fillId="0" borderId="21" xfId="0" applyNumberFormat="1" applyFont="1" applyBorder="1" applyAlignment="1">
      <alignment horizontal="right"/>
    </xf>
    <xf numFmtId="3" fontId="22" fillId="0" borderId="15" xfId="0" applyNumberFormat="1" applyFont="1" applyBorder="1" applyAlignment="1">
      <alignment horizontal="right"/>
    </xf>
    <xf numFmtId="3" fontId="44" fillId="0" borderId="10" xfId="0" applyNumberFormat="1" applyFont="1" applyBorder="1" applyAlignment="1">
      <alignment horizontal="right"/>
    </xf>
    <xf numFmtId="37" fontId="23" fillId="0" borderId="2" xfId="0" applyNumberFormat="1" applyFont="1" applyBorder="1" applyAlignment="1">
      <alignment horizontal="right"/>
    </xf>
    <xf numFmtId="0" fontId="22" fillId="0" borderId="10" xfId="0" applyFont="1" applyBorder="1" applyAlignment="1">
      <alignment horizontal="right"/>
    </xf>
    <xf numFmtId="0" fontId="23" fillId="0" borderId="10" xfId="0" applyFont="1" applyBorder="1" applyAlignment="1">
      <alignment horizontal="left" vertical="center" wrapText="1"/>
    </xf>
    <xf numFmtId="4" fontId="23" fillId="0" borderId="12" xfId="0" applyNumberFormat="1" applyFont="1" applyBorder="1" applyAlignment="1">
      <alignment horizontal="right" vertical="center"/>
    </xf>
    <xf numFmtId="0" fontId="38" fillId="0" borderId="10" xfId="0" applyFont="1" applyBorder="1"/>
    <xf numFmtId="4" fontId="27" fillId="0" borderId="0" xfId="0" applyNumberFormat="1" applyFont="1"/>
    <xf numFmtId="3" fontId="22" fillId="0" borderId="15" xfId="0" applyNumberFormat="1" applyFont="1" applyBorder="1"/>
    <xf numFmtId="0" fontId="45" fillId="0" borderId="0" xfId="0" applyFont="1"/>
    <xf numFmtId="3" fontId="22" fillId="0" borderId="16" xfId="0" applyNumberFormat="1" applyFont="1" applyBorder="1"/>
    <xf numFmtId="0" fontId="22" fillId="26" borderId="0" xfId="0" applyFont="1" applyFill="1" applyAlignment="1">
      <alignment horizontal="right"/>
    </xf>
    <xf numFmtId="0" fontId="22" fillId="4" borderId="0" xfId="0" applyFont="1" applyFill="1"/>
    <xf numFmtId="0" fontId="22" fillId="4" borderId="0" xfId="0" applyFont="1" applyFill="1" applyAlignment="1">
      <alignment horizontal="right"/>
    </xf>
    <xf numFmtId="170" fontId="22" fillId="4" borderId="0" xfId="0" applyNumberFormat="1" applyFont="1" applyFill="1"/>
    <xf numFmtId="170" fontId="22" fillId="0" borderId="0" xfId="0" applyNumberFormat="1" applyFont="1"/>
    <xf numFmtId="0" fontId="22" fillId="25" borderId="0" xfId="0" applyFont="1" applyFill="1"/>
    <xf numFmtId="0" fontId="22" fillId="25" borderId="0" xfId="0" applyFont="1" applyFill="1" applyAlignment="1">
      <alignment horizontal="right"/>
    </xf>
    <xf numFmtId="0" fontId="22" fillId="27" borderId="0" xfId="0" applyFont="1" applyFill="1" applyAlignment="1">
      <alignment horizontal="right"/>
    </xf>
    <xf numFmtId="175" fontId="22" fillId="27" borderId="0" xfId="0" applyNumberFormat="1" applyFont="1" applyFill="1"/>
    <xf numFmtId="0" fontId="22" fillId="16" borderId="0" xfId="0" applyFont="1" applyFill="1"/>
    <xf numFmtId="0" fontId="22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3" fillId="26" borderId="0" xfId="0" applyFont="1" applyFill="1" applyAlignment="1">
      <alignment horizontal="center"/>
    </xf>
    <xf numFmtId="0" fontId="23" fillId="19" borderId="0" xfId="0" applyFont="1" applyFill="1" applyAlignment="1">
      <alignment horizontal="right"/>
    </xf>
    <xf numFmtId="0" fontId="23" fillId="12" borderId="0" xfId="0" applyFont="1" applyFill="1" applyAlignment="1">
      <alignment horizontal="right"/>
    </xf>
    <xf numFmtId="0" fontId="23" fillId="20" borderId="0" xfId="0" applyFont="1" applyFill="1" applyAlignment="1">
      <alignment horizontal="right"/>
    </xf>
    <xf numFmtId="0" fontId="23" fillId="20" borderId="0" xfId="0" applyFont="1" applyFill="1" applyAlignment="1">
      <alignment horizontal="center"/>
    </xf>
    <xf numFmtId="0" fontId="22" fillId="26" borderId="0" xfId="0" applyFont="1" applyFill="1" applyAlignment="1">
      <alignment horizontal="center"/>
    </xf>
    <xf numFmtId="0" fontId="23" fillId="26" borderId="0" xfId="0" applyFont="1" applyFill="1" applyAlignment="1">
      <alignment horizontal="right"/>
    </xf>
    <xf numFmtId="0" fontId="22" fillId="12" borderId="0" xfId="0" applyFont="1" applyFill="1" applyAlignment="1">
      <alignment horizontal="center"/>
    </xf>
    <xf numFmtId="0" fontId="22" fillId="20" borderId="0" xfId="0" applyFont="1" applyFill="1" applyAlignment="1">
      <alignment horizontal="right"/>
    </xf>
    <xf numFmtId="0" fontId="46" fillId="0" borderId="0" xfId="21" applyFont="1"/>
    <xf numFmtId="0" fontId="42" fillId="0" borderId="0" xfId="21" applyFont="1"/>
    <xf numFmtId="0" fontId="46" fillId="0" borderId="0" xfId="21" applyFont="1" applyAlignment="1">
      <alignment horizontal="center"/>
    </xf>
    <xf numFmtId="0" fontId="28" fillId="26" borderId="0" xfId="21" applyFont="1" applyFill="1" applyAlignment="1">
      <alignment horizontal="center"/>
    </xf>
    <xf numFmtId="0" fontId="22" fillId="0" borderId="16" xfId="0" applyFont="1" applyBorder="1" applyAlignment="1">
      <alignment horizontal="center"/>
    </xf>
    <xf numFmtId="0" fontId="28" fillId="25" borderId="7" xfId="21" applyFont="1" applyFill="1" applyBorder="1"/>
    <xf numFmtId="177" fontId="28" fillId="25" borderId="7" xfId="21" applyNumberFormat="1" applyFont="1" applyFill="1" applyBorder="1" applyAlignment="1">
      <alignment horizontal="center"/>
    </xf>
    <xf numFmtId="4" fontId="28" fillId="25" borderId="7" xfId="21" applyNumberFormat="1" applyFont="1" applyFill="1" applyBorder="1" applyAlignment="1">
      <alignment horizontal="center"/>
    </xf>
    <xf numFmtId="3" fontId="28" fillId="25" borderId="7" xfId="21" applyNumberFormat="1" applyFont="1" applyFill="1" applyBorder="1"/>
    <xf numFmtId="3" fontId="47" fillId="0" borderId="7" xfId="21" applyNumberFormat="1" applyFont="1" applyBorder="1" applyAlignment="1">
      <alignment horizontal="center"/>
    </xf>
    <xf numFmtId="3" fontId="22" fillId="0" borderId="7" xfId="0" applyNumberFormat="1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3" fontId="23" fillId="26" borderId="0" xfId="0" applyNumberFormat="1" applyFont="1" applyFill="1" applyAlignment="1">
      <alignment horizontal="right"/>
    </xf>
    <xf numFmtId="3" fontId="22" fillId="12" borderId="0" xfId="0" applyNumberFormat="1" applyFont="1" applyFill="1" applyAlignment="1">
      <alignment horizontal="right"/>
    </xf>
    <xf numFmtId="3" fontId="22" fillId="25" borderId="7" xfId="0" applyNumberFormat="1" applyFont="1" applyFill="1" applyBorder="1" applyAlignment="1">
      <alignment horizontal="center"/>
    </xf>
    <xf numFmtId="3" fontId="23" fillId="12" borderId="0" xfId="0" applyNumberFormat="1" applyFont="1" applyFill="1" applyAlignment="1">
      <alignment horizontal="right"/>
    </xf>
    <xf numFmtId="3" fontId="22" fillId="20" borderId="0" xfId="0" applyNumberFormat="1" applyFont="1" applyFill="1" applyAlignment="1">
      <alignment horizontal="right"/>
    </xf>
    <xf numFmtId="3" fontId="23" fillId="20" borderId="0" xfId="0" applyNumberFormat="1" applyFont="1" applyFill="1" applyAlignment="1">
      <alignment horizontal="right"/>
    </xf>
    <xf numFmtId="0" fontId="47" fillId="26" borderId="0" xfId="21" applyFont="1" applyFill="1" applyAlignment="1">
      <alignment horizontal="center"/>
    </xf>
    <xf numFmtId="0" fontId="28" fillId="0" borderId="7" xfId="21" applyFont="1" applyBorder="1"/>
    <xf numFmtId="177" fontId="28" fillId="0" borderId="7" xfId="21" applyNumberFormat="1" applyFont="1" applyBorder="1" applyAlignment="1">
      <alignment horizontal="center"/>
    </xf>
    <xf numFmtId="4" fontId="28" fillId="0" borderId="7" xfId="21" applyNumberFormat="1" applyFont="1" applyBorder="1" applyAlignment="1">
      <alignment horizontal="center"/>
    </xf>
    <xf numFmtId="3" fontId="42" fillId="0" borderId="7" xfId="21" applyNumberFormat="1" applyFont="1" applyBorder="1"/>
    <xf numFmtId="3" fontId="22" fillId="25" borderId="7" xfId="0" applyNumberFormat="1" applyFont="1" applyFill="1" applyBorder="1" applyAlignment="1">
      <alignment horizontal="right"/>
    </xf>
    <xf numFmtId="3" fontId="28" fillId="26" borderId="0" xfId="21" applyNumberFormat="1" applyFont="1" applyFill="1" applyAlignment="1">
      <alignment horizontal="center"/>
    </xf>
    <xf numFmtId="3" fontId="22" fillId="0" borderId="0" xfId="0" applyNumberFormat="1" applyFont="1" applyAlignment="1">
      <alignment horizontal="center"/>
    </xf>
    <xf numFmtId="3" fontId="48" fillId="0" borderId="7" xfId="21" applyNumberFormat="1" applyFont="1" applyBorder="1" applyAlignment="1">
      <alignment horizontal="center"/>
    </xf>
    <xf numFmtId="3" fontId="25" fillId="26" borderId="0" xfId="21" applyNumberFormat="1" applyFont="1" applyFill="1" applyAlignment="1">
      <alignment horizontal="center"/>
    </xf>
    <xf numFmtId="0" fontId="25" fillId="0" borderId="7" xfId="0" applyFont="1" applyBorder="1" applyAlignment="1">
      <alignment horizontal="center"/>
    </xf>
    <xf numFmtId="3" fontId="25" fillId="0" borderId="7" xfId="0" applyNumberFormat="1" applyFont="1" applyBorder="1" applyAlignment="1">
      <alignment horizontal="center"/>
    </xf>
    <xf numFmtId="3" fontId="25" fillId="12" borderId="0" xfId="0" applyNumberFormat="1" applyFont="1" applyFill="1" applyAlignment="1">
      <alignment horizontal="right"/>
    </xf>
    <xf numFmtId="3" fontId="23" fillId="0" borderId="7" xfId="0" applyNumberFormat="1" applyFont="1" applyBorder="1" applyAlignment="1">
      <alignment horizontal="right"/>
    </xf>
    <xf numFmtId="0" fontId="28" fillId="0" borderId="15" xfId="21" applyFont="1" applyBorder="1"/>
    <xf numFmtId="0" fontId="27" fillId="0" borderId="15" xfId="0" applyFont="1" applyBorder="1" applyAlignment="1">
      <alignment horizontal="center"/>
    </xf>
    <xf numFmtId="0" fontId="22" fillId="26" borderId="3" xfId="0" applyFont="1" applyFill="1" applyBorder="1" applyAlignment="1">
      <alignment horizontal="center"/>
    </xf>
    <xf numFmtId="3" fontId="28" fillId="26" borderId="3" xfId="21" applyNumberFormat="1" applyFont="1" applyFill="1" applyBorder="1" applyAlignment="1">
      <alignment horizontal="center"/>
    </xf>
    <xf numFmtId="3" fontId="42" fillId="26" borderId="3" xfId="21" applyNumberFormat="1" applyFont="1" applyFill="1" applyBorder="1" applyAlignment="1">
      <alignment horizontal="right"/>
    </xf>
    <xf numFmtId="3" fontId="28" fillId="12" borderId="3" xfId="21" applyNumberFormat="1" applyFont="1" applyFill="1" applyBorder="1" applyAlignment="1">
      <alignment horizontal="right"/>
    </xf>
    <xf numFmtId="3" fontId="28" fillId="12" borderId="3" xfId="21" applyNumberFormat="1" applyFont="1" applyFill="1" applyBorder="1" applyAlignment="1">
      <alignment horizontal="center"/>
    </xf>
    <xf numFmtId="3" fontId="23" fillId="12" borderId="3" xfId="0" applyNumberFormat="1" applyFont="1" applyFill="1" applyBorder="1" applyAlignment="1">
      <alignment horizontal="right"/>
    </xf>
    <xf numFmtId="3" fontId="22" fillId="20" borderId="3" xfId="0" applyNumberFormat="1" applyFont="1" applyFill="1" applyBorder="1" applyAlignment="1">
      <alignment horizontal="right"/>
    </xf>
    <xf numFmtId="3" fontId="22" fillId="20" borderId="3" xfId="0" applyNumberFormat="1" applyFont="1" applyFill="1" applyBorder="1" applyAlignment="1">
      <alignment horizontal="center"/>
    </xf>
    <xf numFmtId="3" fontId="23" fillId="20" borderId="3" xfId="0" applyNumberFormat="1" applyFont="1" applyFill="1" applyBorder="1" applyAlignment="1">
      <alignment horizontal="right"/>
    </xf>
    <xf numFmtId="170" fontId="27" fillId="0" borderId="0" xfId="0" applyNumberFormat="1" applyFont="1"/>
    <xf numFmtId="4" fontId="27" fillId="0" borderId="0" xfId="0" applyNumberFormat="1" applyFont="1" applyAlignment="1">
      <alignment horizontal="center"/>
    </xf>
    <xf numFmtId="0" fontId="27" fillId="0" borderId="0" xfId="0" applyFont="1"/>
    <xf numFmtId="3" fontId="33" fillId="0" borderId="0" xfId="0" applyNumberFormat="1" applyFont="1" applyAlignment="1">
      <alignment horizontal="right"/>
    </xf>
    <xf numFmtId="0" fontId="27" fillId="25" borderId="0" xfId="0" applyFont="1" applyFill="1"/>
    <xf numFmtId="0" fontId="22" fillId="25" borderId="7" xfId="0" applyFont="1" applyFill="1" applyBorder="1" applyAlignment="1">
      <alignment horizontal="right"/>
    </xf>
    <xf numFmtId="0" fontId="27" fillId="0" borderId="7" xfId="0" applyFont="1" applyBorder="1" applyAlignment="1">
      <alignment horizontal="center"/>
    </xf>
    <xf numFmtId="0" fontId="27" fillId="0" borderId="7" xfId="0" applyFont="1" applyBorder="1"/>
    <xf numFmtId="175" fontId="27" fillId="0" borderId="0" xfId="0" applyNumberFormat="1" applyFont="1" applyAlignment="1">
      <alignment horizontal="center"/>
    </xf>
    <xf numFmtId="3" fontId="23" fillId="0" borderId="7" xfId="0" applyNumberFormat="1" applyFont="1" applyBorder="1"/>
    <xf numFmtId="170" fontId="27" fillId="26" borderId="0" xfId="0" applyNumberFormat="1" applyFont="1" applyFill="1"/>
    <xf numFmtId="0" fontId="27" fillId="26" borderId="0" xfId="0" applyFont="1" applyFill="1" applyAlignment="1">
      <alignment horizontal="center"/>
    </xf>
    <xf numFmtId="0" fontId="27" fillId="25" borderId="0" xfId="0" applyFont="1" applyFill="1" applyAlignment="1">
      <alignment horizontal="center"/>
    </xf>
    <xf numFmtId="0" fontId="27" fillId="16" borderId="0" xfId="0" applyFont="1" applyFill="1" applyAlignment="1">
      <alignment horizontal="center"/>
    </xf>
    <xf numFmtId="0" fontId="25" fillId="0" borderId="0" xfId="0" applyFont="1"/>
    <xf numFmtId="0" fontId="23" fillId="10" borderId="0" xfId="0" applyFont="1" applyFill="1" applyAlignment="1">
      <alignment horizontal="center"/>
    </xf>
    <xf numFmtId="0" fontId="23" fillId="14" borderId="0" xfId="0" applyFont="1" applyFill="1"/>
    <xf numFmtId="0" fontId="22" fillId="19" borderId="0" xfId="0" applyFont="1" applyFill="1" applyAlignment="1">
      <alignment horizontal="right"/>
    </xf>
    <xf numFmtId="0" fontId="22" fillId="0" borderId="5" xfId="0" applyFont="1" applyBorder="1"/>
    <xf numFmtId="0" fontId="22" fillId="0" borderId="5" xfId="0" applyFont="1" applyBorder="1" applyAlignment="1">
      <alignment horizontal="right"/>
    </xf>
    <xf numFmtId="0" fontId="22" fillId="19" borderId="5" xfId="0" applyFont="1" applyFill="1" applyBorder="1" applyAlignment="1">
      <alignment horizontal="right"/>
    </xf>
    <xf numFmtId="0" fontId="23" fillId="19" borderId="5" xfId="0" applyFont="1" applyFill="1" applyBorder="1"/>
    <xf numFmtId="0" fontId="23" fillId="12" borderId="5" xfId="0" applyFont="1" applyFill="1" applyBorder="1"/>
    <xf numFmtId="0" fontId="23" fillId="20" borderId="5" xfId="0" applyFont="1" applyFill="1" applyBorder="1"/>
    <xf numFmtId="0" fontId="23" fillId="10" borderId="5" xfId="0" applyFont="1" applyFill="1" applyBorder="1"/>
    <xf numFmtId="0" fontId="23" fillId="14" borderId="5" xfId="0" applyFont="1" applyFill="1" applyBorder="1"/>
    <xf numFmtId="3" fontId="22" fillId="11" borderId="2" xfId="0" applyNumberFormat="1" applyFont="1" applyFill="1" applyBorder="1" applyAlignment="1">
      <alignment horizontal="center"/>
    </xf>
    <xf numFmtId="3" fontId="22" fillId="19" borderId="0" xfId="0" applyNumberFormat="1" applyFont="1" applyFill="1" applyAlignment="1">
      <alignment horizontal="right"/>
    </xf>
    <xf numFmtId="37" fontId="22" fillId="0" borderId="0" xfId="0" applyNumberFormat="1" applyFont="1" applyAlignment="1">
      <alignment horizontal="right"/>
    </xf>
    <xf numFmtId="37" fontId="22" fillId="0" borderId="0" xfId="0" applyNumberFormat="1" applyFont="1"/>
    <xf numFmtId="37" fontId="23" fillId="19" borderId="0" xfId="0" applyNumberFormat="1" applyFont="1" applyFill="1"/>
    <xf numFmtId="37" fontId="23" fillId="0" borderId="0" xfId="0" applyNumberFormat="1" applyFont="1"/>
    <xf numFmtId="37" fontId="23" fillId="12" borderId="0" xfId="0" applyNumberFormat="1" applyFont="1" applyFill="1"/>
    <xf numFmtId="37" fontId="23" fillId="20" borderId="0" xfId="0" applyNumberFormat="1" applyFont="1" applyFill="1"/>
    <xf numFmtId="37" fontId="23" fillId="10" borderId="0" xfId="0" applyNumberFormat="1" applyFont="1" applyFill="1"/>
    <xf numFmtId="37" fontId="23" fillId="14" borderId="0" xfId="0" applyNumberFormat="1" applyFont="1" applyFill="1"/>
    <xf numFmtId="37" fontId="22" fillId="25" borderId="0" xfId="0" applyNumberFormat="1" applyFont="1" applyFill="1"/>
    <xf numFmtId="37" fontId="22" fillId="25" borderId="0" xfId="0" applyNumberFormat="1" applyFont="1" applyFill="1" applyAlignment="1">
      <alignment horizontal="right"/>
    </xf>
    <xf numFmtId="37" fontId="25" fillId="0" borderId="0" xfId="0" applyNumberFormat="1" applyFont="1"/>
    <xf numFmtId="0" fontId="22" fillId="24" borderId="0" xfId="0" applyFont="1" applyFill="1" applyAlignment="1">
      <alignment horizontal="center"/>
    </xf>
    <xf numFmtId="0" fontId="22" fillId="24" borderId="3" xfId="0" applyFont="1" applyFill="1" applyBorder="1"/>
    <xf numFmtId="171" fontId="22" fillId="24" borderId="2" xfId="0" applyNumberFormat="1" applyFont="1" applyFill="1" applyBorder="1" applyAlignment="1">
      <alignment horizontal="center"/>
    </xf>
    <xf numFmtId="0" fontId="22" fillId="24" borderId="3" xfId="0" applyFont="1" applyFill="1" applyBorder="1" applyAlignment="1">
      <alignment horizontal="right"/>
    </xf>
    <xf numFmtId="37" fontId="22" fillId="24" borderId="3" xfId="0" applyNumberFormat="1" applyFont="1" applyFill="1" applyBorder="1" applyAlignment="1">
      <alignment horizontal="right"/>
    </xf>
    <xf numFmtId="37" fontId="23" fillId="24" borderId="3" xfId="0" applyNumberFormat="1" applyFont="1" applyFill="1" applyBorder="1"/>
    <xf numFmtId="37" fontId="22" fillId="24" borderId="3" xfId="0" applyNumberFormat="1" applyFont="1" applyFill="1" applyBorder="1"/>
    <xf numFmtId="0" fontId="22" fillId="24" borderId="0" xfId="0" applyFont="1" applyFill="1"/>
    <xf numFmtId="37" fontId="22" fillId="0" borderId="5" xfId="0" applyNumberFormat="1" applyFont="1" applyBorder="1" applyAlignment="1">
      <alignment horizontal="right"/>
    </xf>
    <xf numFmtId="37" fontId="22" fillId="0" borderId="5" xfId="0" applyNumberFormat="1" applyFont="1" applyBorder="1"/>
    <xf numFmtId="37" fontId="23" fillId="19" borderId="5" xfId="0" applyNumberFormat="1" applyFont="1" applyFill="1" applyBorder="1"/>
    <xf numFmtId="37" fontId="23" fillId="0" borderId="5" xfId="0" applyNumberFormat="1" applyFont="1" applyBorder="1"/>
    <xf numFmtId="37" fontId="23" fillId="12" borderId="5" xfId="0" applyNumberFormat="1" applyFont="1" applyFill="1" applyBorder="1"/>
    <xf numFmtId="37" fontId="23" fillId="20" borderId="5" xfId="0" applyNumberFormat="1" applyFont="1" applyFill="1" applyBorder="1"/>
    <xf numFmtId="37" fontId="23" fillId="10" borderId="5" xfId="0" applyNumberFormat="1" applyFont="1" applyFill="1" applyBorder="1"/>
    <xf numFmtId="37" fontId="23" fillId="14" borderId="5" xfId="0" applyNumberFormat="1" applyFont="1" applyFill="1" applyBorder="1"/>
    <xf numFmtId="37" fontId="22" fillId="0" borderId="4" xfId="0" applyNumberFormat="1" applyFont="1" applyBorder="1" applyAlignment="1">
      <alignment horizontal="right"/>
    </xf>
    <xf numFmtId="37" fontId="22" fillId="0" borderId="4" xfId="0" applyNumberFormat="1" applyFont="1" applyBorder="1"/>
    <xf numFmtId="37" fontId="23" fillId="19" borderId="4" xfId="0" applyNumberFormat="1" applyFont="1" applyFill="1" applyBorder="1"/>
    <xf numFmtId="37" fontId="23" fillId="0" borderId="4" xfId="0" applyNumberFormat="1" applyFont="1" applyBorder="1"/>
    <xf numFmtId="37" fontId="23" fillId="12" borderId="4" xfId="0" applyNumberFormat="1" applyFont="1" applyFill="1" applyBorder="1"/>
    <xf numFmtId="37" fontId="23" fillId="20" borderId="4" xfId="0" applyNumberFormat="1" applyFont="1" applyFill="1" applyBorder="1"/>
    <xf numFmtId="37" fontId="23" fillId="10" borderId="4" xfId="0" applyNumberFormat="1" applyFont="1" applyFill="1" applyBorder="1"/>
    <xf numFmtId="37" fontId="23" fillId="14" borderId="4" xfId="0" applyNumberFormat="1" applyFont="1" applyFill="1" applyBorder="1"/>
    <xf numFmtId="167" fontId="22" fillId="11" borderId="2" xfId="0" applyNumberFormat="1" applyFont="1" applyFill="1" applyBorder="1" applyAlignment="1">
      <alignment horizontal="center"/>
    </xf>
    <xf numFmtId="0" fontId="22" fillId="0" borderId="3" xfId="0" applyFont="1" applyBorder="1"/>
    <xf numFmtId="0" fontId="22" fillId="0" borderId="3" xfId="0" applyFont="1" applyBorder="1" applyAlignment="1">
      <alignment horizontal="right"/>
    </xf>
    <xf numFmtId="0" fontId="22" fillId="19" borderId="3" xfId="0" applyFont="1" applyFill="1" applyBorder="1" applyAlignment="1">
      <alignment horizontal="right"/>
    </xf>
    <xf numFmtId="37" fontId="22" fillId="0" borderId="3" xfId="0" applyNumberFormat="1" applyFont="1" applyBorder="1" applyAlignment="1">
      <alignment horizontal="right"/>
    </xf>
    <xf numFmtId="37" fontId="22" fillId="0" borderId="3" xfId="0" applyNumberFormat="1" applyFont="1" applyBorder="1"/>
    <xf numFmtId="37" fontId="23" fillId="19" borderId="3" xfId="0" applyNumberFormat="1" applyFont="1" applyFill="1" applyBorder="1"/>
    <xf numFmtId="37" fontId="23" fillId="0" borderId="3" xfId="0" applyNumberFormat="1" applyFont="1" applyBorder="1"/>
    <xf numFmtId="37" fontId="23" fillId="12" borderId="3" xfId="0" applyNumberFormat="1" applyFont="1" applyFill="1" applyBorder="1"/>
    <xf numFmtId="37" fontId="23" fillId="20" borderId="3" xfId="0" applyNumberFormat="1" applyFont="1" applyFill="1" applyBorder="1"/>
    <xf numFmtId="37" fontId="23" fillId="10" borderId="3" xfId="0" applyNumberFormat="1" applyFont="1" applyFill="1" applyBorder="1"/>
    <xf numFmtId="37" fontId="23" fillId="14" borderId="3" xfId="0" applyNumberFormat="1" applyFont="1" applyFill="1" applyBorder="1"/>
    <xf numFmtId="0" fontId="22" fillId="24" borderId="0" xfId="0" applyFont="1" applyFill="1" applyAlignment="1">
      <alignment horizontal="right"/>
    </xf>
    <xf numFmtId="37" fontId="22" fillId="24" borderId="0" xfId="0" applyNumberFormat="1" applyFont="1" applyFill="1" applyAlignment="1">
      <alignment horizontal="right"/>
    </xf>
    <xf numFmtId="37" fontId="22" fillId="24" borderId="0" xfId="0" applyNumberFormat="1" applyFont="1" applyFill="1"/>
    <xf numFmtId="37" fontId="23" fillId="24" borderId="0" xfId="0" applyNumberFormat="1" applyFont="1" applyFill="1"/>
    <xf numFmtId="3" fontId="22" fillId="24" borderId="2" xfId="0" applyNumberFormat="1" applyFont="1" applyFill="1" applyBorder="1" applyAlignment="1">
      <alignment horizontal="center"/>
    </xf>
    <xf numFmtId="3" fontId="22" fillId="24" borderId="0" xfId="0" applyNumberFormat="1" applyFont="1" applyFill="1" applyAlignment="1">
      <alignment horizontal="center"/>
    </xf>
    <xf numFmtId="37" fontId="22" fillId="24" borderId="4" xfId="0" applyNumberFormat="1" applyFont="1" applyFill="1" applyBorder="1" applyAlignment="1">
      <alignment horizontal="right"/>
    </xf>
    <xf numFmtId="37" fontId="22" fillId="24" borderId="4" xfId="0" applyNumberFormat="1" applyFont="1" applyFill="1" applyBorder="1"/>
    <xf numFmtId="37" fontId="23" fillId="24" borderId="4" xfId="0" applyNumberFormat="1" applyFont="1" applyFill="1" applyBorder="1"/>
    <xf numFmtId="167" fontId="22" fillId="24" borderId="2" xfId="0" applyNumberFormat="1" applyFont="1" applyFill="1" applyBorder="1" applyAlignment="1">
      <alignment horizontal="center"/>
    </xf>
    <xf numFmtId="37" fontId="22" fillId="24" borderId="9" xfId="0" applyNumberFormat="1" applyFont="1" applyFill="1" applyBorder="1"/>
    <xf numFmtId="37" fontId="23" fillId="24" borderId="9" xfId="0" applyNumberFormat="1" applyFont="1" applyFill="1" applyBorder="1"/>
    <xf numFmtId="0" fontId="22" fillId="19" borderId="10" xfId="0" applyFont="1" applyFill="1" applyBorder="1" applyAlignment="1">
      <alignment horizontal="right"/>
    </xf>
    <xf numFmtId="37" fontId="22" fillId="0" borderId="10" xfId="0" applyNumberFormat="1" applyFont="1" applyBorder="1" applyAlignment="1">
      <alignment horizontal="right"/>
    </xf>
    <xf numFmtId="37" fontId="23" fillId="19" borderId="10" xfId="0" applyNumberFormat="1" applyFont="1" applyFill="1" applyBorder="1"/>
    <xf numFmtId="37" fontId="23" fillId="0" borderId="10" xfId="0" applyNumberFormat="1" applyFont="1" applyBorder="1"/>
    <xf numFmtId="37" fontId="23" fillId="12" borderId="10" xfId="0" applyNumberFormat="1" applyFont="1" applyFill="1" applyBorder="1"/>
    <xf numFmtId="37" fontId="22" fillId="0" borderId="10" xfId="0" applyNumberFormat="1" applyFont="1" applyBorder="1"/>
    <xf numFmtId="37" fontId="23" fillId="20" borderId="10" xfId="0" applyNumberFormat="1" applyFont="1" applyFill="1" applyBorder="1"/>
    <xf numFmtId="37" fontId="23" fillId="10" borderId="10" xfId="0" applyNumberFormat="1" applyFont="1" applyFill="1" applyBorder="1"/>
    <xf numFmtId="37" fontId="23" fillId="14" borderId="10" xfId="0" applyNumberFormat="1" applyFont="1" applyFill="1" applyBorder="1"/>
    <xf numFmtId="37" fontId="22" fillId="25" borderId="5" xfId="0" applyNumberFormat="1" applyFont="1" applyFill="1" applyBorder="1"/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vertical="center"/>
    </xf>
    <xf numFmtId="37" fontId="22" fillId="25" borderId="0" xfId="0" applyNumberFormat="1" applyFont="1" applyFill="1" applyAlignment="1">
      <alignment vertical="center"/>
    </xf>
    <xf numFmtId="37" fontId="23" fillId="19" borderId="0" xfId="0" applyNumberFormat="1" applyFont="1" applyFill="1" applyAlignment="1">
      <alignment vertical="center"/>
    </xf>
    <xf numFmtId="37" fontId="22" fillId="25" borderId="3" xfId="0" applyNumberFormat="1" applyFont="1" applyFill="1" applyBorder="1"/>
    <xf numFmtId="37" fontId="0" fillId="0" borderId="0" xfId="0" applyNumberFormat="1"/>
    <xf numFmtId="0" fontId="24" fillId="24" borderId="0" xfId="0" applyFont="1" applyFill="1"/>
    <xf numFmtId="0" fontId="25" fillId="24" borderId="0" xfId="0" applyFont="1" applyFill="1"/>
    <xf numFmtId="0" fontId="25" fillId="0" borderId="0" xfId="0" applyFont="1" applyAlignment="1">
      <alignment horizontal="right"/>
    </xf>
    <xf numFmtId="0" fontId="40" fillId="0" borderId="0" xfId="0" applyFont="1"/>
    <xf numFmtId="0" fontId="23" fillId="0" borderId="0" xfId="0" applyFont="1" applyAlignment="1">
      <alignment horizontal="left"/>
    </xf>
    <xf numFmtId="0" fontId="23" fillId="18" borderId="0" xfId="0" applyFont="1" applyFill="1" applyAlignment="1">
      <alignment horizontal="right"/>
    </xf>
    <xf numFmtId="0" fontId="23" fillId="10" borderId="0" xfId="0" applyFont="1" applyFill="1" applyAlignment="1">
      <alignment horizontal="right"/>
    </xf>
    <xf numFmtId="0" fontId="23" fillId="14" borderId="0" xfId="0" applyFont="1" applyFill="1" applyAlignment="1">
      <alignment horizontal="right"/>
    </xf>
    <xf numFmtId="0" fontId="22" fillId="0" borderId="3" xfId="0" applyFont="1" applyBorder="1" applyAlignment="1">
      <alignment horizontal="center"/>
    </xf>
    <xf numFmtId="167" fontId="23" fillId="19" borderId="0" xfId="0" applyNumberFormat="1" applyFont="1" applyFill="1" applyAlignment="1">
      <alignment horizontal="right"/>
    </xf>
    <xf numFmtId="168" fontId="22" fillId="11" borderId="2" xfId="0" applyNumberFormat="1" applyFont="1" applyFill="1" applyBorder="1" applyAlignment="1">
      <alignment horizontal="right"/>
    </xf>
    <xf numFmtId="0" fontId="42" fillId="0" borderId="5" xfId="21" applyFont="1" applyBorder="1"/>
    <xf numFmtId="0" fontId="28" fillId="0" borderId="5" xfId="21" applyFont="1" applyBorder="1" applyAlignment="1">
      <alignment horizontal="center"/>
    </xf>
    <xf numFmtId="0" fontId="28" fillId="0" borderId="0" xfId="21" applyFont="1" applyAlignment="1">
      <alignment horizontal="center"/>
    </xf>
    <xf numFmtId="0" fontId="28" fillId="0" borderId="5" xfId="21" applyFont="1" applyBorder="1" applyAlignment="1">
      <alignment horizontal="right"/>
    </xf>
    <xf numFmtId="0" fontId="42" fillId="18" borderId="5" xfId="21" applyFont="1" applyFill="1" applyBorder="1" applyAlignment="1">
      <alignment horizontal="right"/>
    </xf>
    <xf numFmtId="0" fontId="42" fillId="0" borderId="5" xfId="21" applyFont="1" applyBorder="1" applyAlignment="1">
      <alignment horizontal="right"/>
    </xf>
    <xf numFmtId="0" fontId="23" fillId="19" borderId="5" xfId="0" applyFont="1" applyFill="1" applyBorder="1" applyAlignment="1">
      <alignment horizontal="right"/>
    </xf>
    <xf numFmtId="167" fontId="22" fillId="0" borderId="5" xfId="0" applyNumberFormat="1" applyFont="1" applyBorder="1" applyAlignment="1">
      <alignment horizontal="right"/>
    </xf>
    <xf numFmtId="0" fontId="23" fillId="12" borderId="5" xfId="0" applyFont="1" applyFill="1" applyBorder="1" applyAlignment="1">
      <alignment horizontal="right"/>
    </xf>
    <xf numFmtId="0" fontId="23" fillId="20" borderId="5" xfId="0" applyFont="1" applyFill="1" applyBorder="1" applyAlignment="1">
      <alignment horizontal="right"/>
    </xf>
    <xf numFmtId="0" fontId="23" fillId="10" borderId="5" xfId="0" applyFont="1" applyFill="1" applyBorder="1" applyAlignment="1">
      <alignment horizontal="right"/>
    </xf>
    <xf numFmtId="0" fontId="23" fillId="14" borderId="5" xfId="0" applyFont="1" applyFill="1" applyBorder="1" applyAlignment="1">
      <alignment horizontal="right"/>
    </xf>
    <xf numFmtId="0" fontId="28" fillId="0" borderId="4" xfId="21" applyFont="1" applyBorder="1"/>
    <xf numFmtId="0" fontId="28" fillId="0" borderId="4" xfId="21" applyFont="1" applyBorder="1" applyAlignment="1">
      <alignment horizontal="center"/>
    </xf>
    <xf numFmtId="0" fontId="28" fillId="0" borderId="4" xfId="21" applyFont="1" applyBorder="1" applyAlignment="1">
      <alignment horizontal="right"/>
    </xf>
    <xf numFmtId="0" fontId="42" fillId="18" borderId="4" xfId="21" applyFont="1" applyFill="1" applyBorder="1" applyAlignment="1">
      <alignment horizontal="right"/>
    </xf>
    <xf numFmtId="4" fontId="28" fillId="16" borderId="4" xfId="21" applyNumberFormat="1" applyFont="1" applyFill="1" applyBorder="1" applyAlignment="1">
      <alignment horizontal="right"/>
    </xf>
    <xf numFmtId="4" fontId="28" fillId="26" borderId="4" xfId="21" applyNumberFormat="1" applyFont="1" applyFill="1" applyBorder="1" applyAlignment="1">
      <alignment horizontal="right"/>
    </xf>
    <xf numFmtId="4" fontId="23" fillId="19" borderId="4" xfId="0" applyNumberFormat="1" applyFont="1" applyFill="1" applyBorder="1" applyAlignment="1">
      <alignment horizontal="right"/>
    </xf>
    <xf numFmtId="168" fontId="22" fillId="11" borderId="4" xfId="0" applyNumberFormat="1" applyFont="1" applyFill="1" applyBorder="1" applyAlignment="1">
      <alignment horizontal="right"/>
    </xf>
    <xf numFmtId="178" fontId="22" fillId="0" borderId="4" xfId="0" applyNumberFormat="1" applyFont="1" applyBorder="1" applyAlignment="1">
      <alignment horizontal="right"/>
    </xf>
    <xf numFmtId="4" fontId="23" fillId="12" borderId="4" xfId="0" applyNumberFormat="1" applyFont="1" applyFill="1" applyBorder="1" applyAlignment="1">
      <alignment horizontal="right"/>
    </xf>
    <xf numFmtId="4" fontId="22" fillId="0" borderId="4" xfId="0" applyNumberFormat="1" applyFont="1" applyBorder="1" applyAlignment="1">
      <alignment horizontal="right"/>
    </xf>
    <xf numFmtId="4" fontId="23" fillId="20" borderId="4" xfId="0" applyNumberFormat="1" applyFont="1" applyFill="1" applyBorder="1" applyAlignment="1">
      <alignment horizontal="right"/>
    </xf>
    <xf numFmtId="4" fontId="23" fillId="10" borderId="4" xfId="0" applyNumberFormat="1" applyFont="1" applyFill="1" applyBorder="1" applyAlignment="1">
      <alignment horizontal="right"/>
    </xf>
    <xf numFmtId="4" fontId="23" fillId="14" borderId="4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4" fillId="0" borderId="0" xfId="21" applyFont="1"/>
    <xf numFmtId="3" fontId="24" fillId="0" borderId="0" xfId="0" applyNumberFormat="1" applyFont="1" applyAlignment="1">
      <alignment horizontal="center"/>
    </xf>
    <xf numFmtId="167" fontId="24" fillId="0" borderId="0" xfId="0" applyNumberFormat="1" applyFont="1" applyAlignment="1">
      <alignment horizontal="center"/>
    </xf>
    <xf numFmtId="168" fontId="24" fillId="0" borderId="0" xfId="0" applyNumberFormat="1" applyFont="1" applyAlignment="1">
      <alignment horizontal="center"/>
    </xf>
    <xf numFmtId="0" fontId="24" fillId="0" borderId="0" xfId="21" applyFont="1" applyAlignment="1">
      <alignment horizontal="right"/>
    </xf>
    <xf numFmtId="0" fontId="26" fillId="18" borderId="0" xfId="21" applyFont="1" applyFill="1" applyAlignment="1">
      <alignment horizontal="right"/>
    </xf>
    <xf numFmtId="3" fontId="24" fillId="25" borderId="16" xfId="21" applyNumberFormat="1" applyFont="1" applyFill="1" applyBorder="1" applyAlignment="1">
      <alignment horizontal="right"/>
    </xf>
    <xf numFmtId="3" fontId="26" fillId="19" borderId="0" xfId="0" applyNumberFormat="1" applyFont="1" applyFill="1" applyAlignment="1">
      <alignment horizontal="right"/>
    </xf>
    <xf numFmtId="167" fontId="24" fillId="0" borderId="0" xfId="0" applyNumberFormat="1" applyFont="1" applyAlignment="1">
      <alignment horizontal="right"/>
    </xf>
    <xf numFmtId="3" fontId="24" fillId="26" borderId="16" xfId="0" applyNumberFormat="1" applyFont="1" applyFill="1" applyBorder="1" applyAlignment="1">
      <alignment horizontal="right"/>
    </xf>
    <xf numFmtId="3" fontId="26" fillId="12" borderId="0" xfId="0" applyNumberFormat="1" applyFont="1" applyFill="1" applyAlignment="1">
      <alignment horizontal="right"/>
    </xf>
    <xf numFmtId="3" fontId="26" fillId="20" borderId="0" xfId="0" applyNumberFormat="1" applyFont="1" applyFill="1" applyAlignment="1">
      <alignment horizontal="right"/>
    </xf>
    <xf numFmtId="3" fontId="26" fillId="10" borderId="0" xfId="0" applyNumberFormat="1" applyFont="1" applyFill="1" applyAlignment="1">
      <alignment horizontal="right"/>
    </xf>
    <xf numFmtId="3" fontId="26" fillId="14" borderId="0" xfId="0" applyNumberFormat="1" applyFont="1" applyFill="1" applyAlignment="1">
      <alignment horizontal="right"/>
    </xf>
    <xf numFmtId="0" fontId="24" fillId="0" borderId="0" xfId="0" applyFont="1"/>
    <xf numFmtId="3" fontId="24" fillId="0" borderId="4" xfId="21" applyNumberFormat="1" applyFont="1" applyBorder="1"/>
    <xf numFmtId="0" fontId="24" fillId="0" borderId="4" xfId="21" applyFont="1" applyBorder="1"/>
    <xf numFmtId="167" fontId="24" fillId="0" borderId="4" xfId="21" applyNumberFormat="1" applyFont="1" applyBorder="1" applyAlignment="1">
      <alignment horizontal="center"/>
    </xf>
    <xf numFmtId="0" fontId="24" fillId="0" borderId="4" xfId="21" applyFont="1" applyBorder="1" applyAlignment="1">
      <alignment horizontal="center"/>
    </xf>
    <xf numFmtId="0" fontId="24" fillId="0" borderId="4" xfId="21" applyFont="1" applyBorder="1" applyAlignment="1">
      <alignment horizontal="right"/>
    </xf>
    <xf numFmtId="0" fontId="26" fillId="0" borderId="4" xfId="21" applyFont="1" applyBorder="1" applyAlignment="1">
      <alignment horizontal="right"/>
    </xf>
    <xf numFmtId="3" fontId="24" fillId="0" borderId="4" xfId="21" applyNumberFormat="1" applyFont="1" applyBorder="1" applyAlignment="1">
      <alignment horizontal="right"/>
    </xf>
    <xf numFmtId="3" fontId="26" fillId="0" borderId="4" xfId="0" applyNumberFormat="1" applyFont="1" applyBorder="1" applyAlignment="1">
      <alignment horizontal="right"/>
    </xf>
    <xf numFmtId="0" fontId="24" fillId="0" borderId="4" xfId="0" applyFont="1" applyBorder="1" applyAlignment="1">
      <alignment horizontal="right"/>
    </xf>
    <xf numFmtId="3" fontId="24" fillId="0" borderId="4" xfId="0" applyNumberFormat="1" applyFont="1" applyBorder="1" applyAlignment="1">
      <alignment horizontal="right"/>
    </xf>
    <xf numFmtId="0" fontId="24" fillId="23" borderId="3" xfId="0" applyFont="1" applyFill="1" applyBorder="1"/>
    <xf numFmtId="0" fontId="24" fillId="0" borderId="3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23" borderId="3" xfId="0" applyFont="1" applyFill="1" applyBorder="1" applyAlignment="1">
      <alignment horizontal="right"/>
    </xf>
    <xf numFmtId="0" fontId="26" fillId="18" borderId="3" xfId="21" applyFont="1" applyFill="1" applyBorder="1" applyAlignment="1">
      <alignment horizontal="right"/>
    </xf>
    <xf numFmtId="3" fontId="24" fillId="23" borderId="3" xfId="0" applyNumberFormat="1" applyFont="1" applyFill="1" applyBorder="1" applyAlignment="1">
      <alignment horizontal="right"/>
    </xf>
    <xf numFmtId="3" fontId="26" fillId="19" borderId="3" xfId="0" applyNumberFormat="1" applyFont="1" applyFill="1" applyBorder="1" applyAlignment="1">
      <alignment horizontal="right"/>
    </xf>
    <xf numFmtId="0" fontId="24" fillId="0" borderId="3" xfId="0" applyFont="1" applyBorder="1" applyAlignment="1">
      <alignment horizontal="right"/>
    </xf>
    <xf numFmtId="3" fontId="26" fillId="12" borderId="3" xfId="0" applyNumberFormat="1" applyFont="1" applyFill="1" applyBorder="1" applyAlignment="1">
      <alignment horizontal="right"/>
    </xf>
    <xf numFmtId="3" fontId="26" fillId="23" borderId="3" xfId="0" applyNumberFormat="1" applyFont="1" applyFill="1" applyBorder="1" applyAlignment="1">
      <alignment horizontal="right"/>
    </xf>
    <xf numFmtId="3" fontId="26" fillId="20" borderId="3" xfId="0" applyNumberFormat="1" applyFont="1" applyFill="1" applyBorder="1" applyAlignment="1">
      <alignment horizontal="right"/>
    </xf>
    <xf numFmtId="3" fontId="26" fillId="10" borderId="3" xfId="0" applyNumberFormat="1" applyFont="1" applyFill="1" applyBorder="1" applyAlignment="1">
      <alignment horizontal="right"/>
    </xf>
    <xf numFmtId="3" fontId="26" fillId="14" borderId="3" xfId="0" applyNumberFormat="1" applyFont="1" applyFill="1" applyBorder="1" applyAlignment="1">
      <alignment horizontal="right"/>
    </xf>
    <xf numFmtId="0" fontId="28" fillId="0" borderId="0" xfId="21" applyFont="1"/>
    <xf numFmtId="3" fontId="28" fillId="0" borderId="0" xfId="21" applyNumberFormat="1" applyFont="1" applyAlignment="1">
      <alignment horizontal="center"/>
    </xf>
    <xf numFmtId="0" fontId="28" fillId="0" borderId="10" xfId="21" applyFont="1" applyBorder="1" applyAlignment="1">
      <alignment horizontal="center"/>
    </xf>
    <xf numFmtId="0" fontId="28" fillId="0" borderId="0" xfId="21" applyFont="1" applyAlignment="1">
      <alignment horizontal="right"/>
    </xf>
    <xf numFmtId="0" fontId="42" fillId="18" borderId="0" xfId="21" applyFont="1" applyFill="1" applyAlignment="1">
      <alignment horizontal="right"/>
    </xf>
    <xf numFmtId="4" fontId="27" fillId="19" borderId="0" xfId="0" applyNumberFormat="1" applyFont="1" applyFill="1" applyAlignment="1">
      <alignment horizontal="right"/>
    </xf>
    <xf numFmtId="179" fontId="22" fillId="12" borderId="0" xfId="0" applyNumberFormat="1" applyFont="1" applyFill="1" applyAlignment="1">
      <alignment horizontal="right"/>
    </xf>
    <xf numFmtId="179" fontId="22" fillId="10" borderId="0" xfId="0" applyNumberFormat="1" applyFont="1" applyFill="1" applyAlignment="1">
      <alignment horizontal="right"/>
    </xf>
    <xf numFmtId="179" fontId="27" fillId="14" borderId="0" xfId="0" applyNumberFormat="1" applyFont="1" applyFill="1" applyAlignment="1">
      <alignment horizontal="right"/>
    </xf>
    <xf numFmtId="3" fontId="22" fillId="0" borderId="5" xfId="0" applyNumberFormat="1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3" fillId="18" borderId="5" xfId="0" applyFont="1" applyFill="1" applyBorder="1" applyAlignment="1">
      <alignment horizontal="right"/>
    </xf>
    <xf numFmtId="168" fontId="22" fillId="11" borderId="5" xfId="0" applyNumberFormat="1" applyFont="1" applyFill="1" applyBorder="1" applyAlignment="1">
      <alignment horizontal="right"/>
    </xf>
    <xf numFmtId="3" fontId="24" fillId="0" borderId="0" xfId="21" applyNumberFormat="1" applyFont="1"/>
    <xf numFmtId="3" fontId="22" fillId="21" borderId="2" xfId="0" applyNumberFormat="1" applyFont="1" applyFill="1" applyBorder="1" applyAlignment="1">
      <alignment horizontal="center"/>
    </xf>
    <xf numFmtId="3" fontId="23" fillId="19" borderId="0" xfId="0" applyNumberFormat="1" applyFont="1" applyFill="1" applyAlignment="1">
      <alignment horizontal="right"/>
    </xf>
    <xf numFmtId="3" fontId="23" fillId="10" borderId="0" xfId="0" applyNumberFormat="1" applyFont="1" applyFill="1" applyAlignment="1">
      <alignment horizontal="right"/>
    </xf>
    <xf numFmtId="3" fontId="23" fillId="14" borderId="0" xfId="0" applyNumberFormat="1" applyFont="1" applyFill="1" applyAlignment="1">
      <alignment horizontal="right"/>
    </xf>
    <xf numFmtId="1" fontId="22" fillId="0" borderId="0" xfId="0" applyNumberFormat="1" applyFont="1" applyAlignment="1">
      <alignment horizontal="right"/>
    </xf>
    <xf numFmtId="0" fontId="49" fillId="0" borderId="0" xfId="0" applyFont="1" applyAlignment="1">
      <alignment horizontal="left"/>
    </xf>
    <xf numFmtId="0" fontId="26" fillId="18" borderId="3" xfId="0" applyFont="1" applyFill="1" applyBorder="1" applyAlignment="1">
      <alignment horizontal="right"/>
    </xf>
    <xf numFmtId="0" fontId="49" fillId="16" borderId="0" xfId="0" applyFont="1" applyFill="1"/>
    <xf numFmtId="0" fontId="22" fillId="0" borderId="10" xfId="0" applyFont="1" applyBorder="1" applyAlignment="1">
      <alignment horizontal="center"/>
    </xf>
    <xf numFmtId="0" fontId="22" fillId="10" borderId="0" xfId="0" applyFont="1" applyFill="1" applyAlignment="1">
      <alignment horizontal="right"/>
    </xf>
    <xf numFmtId="168" fontId="22" fillId="11" borderId="0" xfId="0" applyNumberFormat="1" applyFont="1" applyFill="1" applyAlignment="1">
      <alignment horizontal="right"/>
    </xf>
    <xf numFmtId="3" fontId="24" fillId="0" borderId="0" xfId="21" applyNumberFormat="1" applyFont="1" applyAlignment="1">
      <alignment horizontal="center"/>
    </xf>
    <xf numFmtId="3" fontId="23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center"/>
    </xf>
    <xf numFmtId="3" fontId="23" fillId="18" borderId="0" xfId="0" applyNumberFormat="1" applyFont="1" applyFill="1" applyAlignment="1">
      <alignment horizontal="right"/>
    </xf>
    <xf numFmtId="3" fontId="25" fillId="26" borderId="0" xfId="0" applyNumberFormat="1" applyFont="1" applyFill="1" applyAlignment="1">
      <alignment horizontal="center"/>
    </xf>
    <xf numFmtId="167" fontId="38" fillId="0" borderId="0" xfId="0" applyNumberFormat="1" applyFont="1" applyAlignment="1">
      <alignment horizontal="center"/>
    </xf>
    <xf numFmtId="3" fontId="24" fillId="0" borderId="7" xfId="21" applyNumberFormat="1" applyFont="1" applyBorder="1"/>
    <xf numFmtId="3" fontId="22" fillId="24" borderId="7" xfId="0" applyNumberFormat="1" applyFont="1" applyFill="1" applyBorder="1" applyAlignment="1">
      <alignment horizontal="right"/>
    </xf>
    <xf numFmtId="4" fontId="25" fillId="0" borderId="0" xfId="0" applyNumberFormat="1" applyFont="1" applyAlignment="1">
      <alignment horizontal="center"/>
    </xf>
    <xf numFmtId="0" fontId="22" fillId="24" borderId="7" xfId="0" applyFont="1" applyFill="1" applyBorder="1" applyAlignment="1">
      <alignment horizontal="right"/>
    </xf>
    <xf numFmtId="0" fontId="28" fillId="11" borderId="2" xfId="21" applyFont="1" applyFill="1" applyBorder="1" applyAlignment="1">
      <alignment horizontal="center"/>
    </xf>
    <xf numFmtId="3" fontId="22" fillId="0" borderId="4" xfId="0" applyNumberFormat="1" applyFont="1" applyBorder="1" applyAlignment="1">
      <alignment horizontal="center"/>
    </xf>
    <xf numFmtId="3" fontId="27" fillId="0" borderId="4" xfId="0" applyNumberFormat="1" applyFont="1" applyBorder="1" applyAlignment="1">
      <alignment horizontal="right"/>
    </xf>
    <xf numFmtId="3" fontId="23" fillId="18" borderId="4" xfId="0" applyNumberFormat="1" applyFont="1" applyFill="1" applyBorder="1" applyAlignment="1">
      <alignment horizontal="right"/>
    </xf>
    <xf numFmtId="3" fontId="22" fillId="0" borderId="4" xfId="0" applyNumberFormat="1" applyFont="1" applyBorder="1" applyAlignment="1">
      <alignment horizontal="right"/>
    </xf>
    <xf numFmtId="3" fontId="22" fillId="25" borderId="4" xfId="0" applyNumberFormat="1" applyFont="1" applyFill="1" applyBorder="1" applyAlignment="1">
      <alignment horizontal="right"/>
    </xf>
    <xf numFmtId="3" fontId="23" fillId="19" borderId="4" xfId="0" applyNumberFormat="1" applyFont="1" applyFill="1" applyBorder="1" applyAlignment="1">
      <alignment horizontal="right"/>
    </xf>
    <xf numFmtId="0" fontId="22" fillId="0" borderId="4" xfId="0" applyFont="1" applyBorder="1" applyAlignment="1">
      <alignment horizontal="right"/>
    </xf>
    <xf numFmtId="0" fontId="22" fillId="24" borderId="4" xfId="0" applyFont="1" applyFill="1" applyBorder="1" applyAlignment="1">
      <alignment horizontal="right"/>
    </xf>
    <xf numFmtId="3" fontId="22" fillId="24" borderId="4" xfId="0" applyNumberFormat="1" applyFont="1" applyFill="1" applyBorder="1" applyAlignment="1">
      <alignment horizontal="right"/>
    </xf>
    <xf numFmtId="3" fontId="23" fillId="12" borderId="4" xfId="0" applyNumberFormat="1" applyFont="1" applyFill="1" applyBorder="1" applyAlignment="1">
      <alignment horizontal="right"/>
    </xf>
    <xf numFmtId="3" fontId="23" fillId="20" borderId="4" xfId="0" applyNumberFormat="1" applyFont="1" applyFill="1" applyBorder="1" applyAlignment="1">
      <alignment horizontal="right"/>
    </xf>
    <xf numFmtId="3" fontId="23" fillId="10" borderId="4" xfId="0" applyNumberFormat="1" applyFont="1" applyFill="1" applyBorder="1" applyAlignment="1">
      <alignment horizontal="right"/>
    </xf>
    <xf numFmtId="3" fontId="23" fillId="14" borderId="4" xfId="0" applyNumberFormat="1" applyFont="1" applyFill="1" applyBorder="1" applyAlignment="1">
      <alignment horizontal="right"/>
    </xf>
    <xf numFmtId="3" fontId="22" fillId="23" borderId="3" xfId="0" applyNumberFormat="1" applyFont="1" applyFill="1" applyBorder="1"/>
    <xf numFmtId="3" fontId="22" fillId="0" borderId="3" xfId="0" applyNumberFormat="1" applyFont="1" applyBorder="1"/>
    <xf numFmtId="3" fontId="22" fillId="0" borderId="3" xfId="0" applyNumberFormat="1" applyFont="1" applyBorder="1" applyAlignment="1">
      <alignment horizontal="center"/>
    </xf>
    <xf numFmtId="3" fontId="22" fillId="23" borderId="3" xfId="0" applyNumberFormat="1" applyFont="1" applyFill="1" applyBorder="1" applyAlignment="1">
      <alignment horizontal="right"/>
    </xf>
    <xf numFmtId="3" fontId="23" fillId="18" borderId="3" xfId="0" applyNumberFormat="1" applyFont="1" applyFill="1" applyBorder="1" applyAlignment="1">
      <alignment horizontal="right"/>
    </xf>
    <xf numFmtId="3" fontId="23" fillId="19" borderId="3" xfId="0" applyNumberFormat="1" applyFont="1" applyFill="1" applyBorder="1" applyAlignment="1">
      <alignment horizontal="right"/>
    </xf>
    <xf numFmtId="3" fontId="23" fillId="10" borderId="3" xfId="0" applyNumberFormat="1" applyFont="1" applyFill="1" applyBorder="1" applyAlignment="1">
      <alignment horizontal="right"/>
    </xf>
    <xf numFmtId="3" fontId="23" fillId="14" borderId="3" xfId="0" applyNumberFormat="1" applyFont="1" applyFill="1" applyBorder="1" applyAlignment="1">
      <alignment horizontal="right"/>
    </xf>
    <xf numFmtId="0" fontId="27" fillId="0" borderId="10" xfId="0" applyFont="1" applyBorder="1" applyAlignment="1">
      <alignment horizontal="center"/>
    </xf>
    <xf numFmtId="179" fontId="22" fillId="20" borderId="0" xfId="0" applyNumberFormat="1" applyFont="1" applyFill="1" applyAlignment="1">
      <alignment horizontal="right"/>
    </xf>
    <xf numFmtId="0" fontId="27" fillId="0" borderId="5" xfId="0" applyFont="1" applyBorder="1"/>
    <xf numFmtId="0" fontId="27" fillId="0" borderId="5" xfId="0" applyFont="1" applyBorder="1" applyAlignment="1">
      <alignment horizontal="center"/>
    </xf>
    <xf numFmtId="0" fontId="27" fillId="0" borderId="5" xfId="0" applyFont="1" applyBorder="1" applyAlignment="1">
      <alignment horizontal="right"/>
    </xf>
    <xf numFmtId="0" fontId="33" fillId="18" borderId="5" xfId="0" applyFont="1" applyFill="1" applyBorder="1" applyAlignment="1">
      <alignment horizontal="right"/>
    </xf>
    <xf numFmtId="0" fontId="33" fillId="14" borderId="5" xfId="0" applyFont="1" applyFill="1" applyBorder="1" applyAlignment="1">
      <alignment horizontal="right"/>
    </xf>
    <xf numFmtId="0" fontId="22" fillId="13" borderId="4" xfId="0" applyFont="1" applyFill="1" applyBorder="1"/>
    <xf numFmtId="0" fontId="22" fillId="0" borderId="4" xfId="0" applyFont="1" applyBorder="1"/>
    <xf numFmtId="167" fontId="22" fillId="13" borderId="4" xfId="0" applyNumberFormat="1" applyFont="1" applyFill="1" applyBorder="1" applyAlignment="1">
      <alignment horizontal="center"/>
    </xf>
    <xf numFmtId="167" fontId="22" fillId="0" borderId="4" xfId="0" applyNumberFormat="1" applyFont="1" applyBorder="1" applyAlignment="1">
      <alignment horizontal="center"/>
    </xf>
    <xf numFmtId="37" fontId="23" fillId="18" borderId="4" xfId="0" applyNumberFormat="1" applyFont="1" applyFill="1" applyBorder="1" applyAlignment="1">
      <alignment horizontal="right"/>
    </xf>
    <xf numFmtId="0" fontId="23" fillId="19" borderId="4" xfId="0" applyFont="1" applyFill="1" applyBorder="1" applyAlignment="1">
      <alignment horizontal="right"/>
    </xf>
    <xf numFmtId="37" fontId="22" fillId="26" borderId="4" xfId="0" applyNumberFormat="1" applyFont="1" applyFill="1" applyBorder="1" applyAlignment="1">
      <alignment horizontal="right"/>
    </xf>
    <xf numFmtId="1" fontId="23" fillId="19" borderId="4" xfId="0" applyNumberFormat="1" applyFont="1" applyFill="1" applyBorder="1" applyAlignment="1">
      <alignment horizontal="right"/>
    </xf>
    <xf numFmtId="0" fontId="22" fillId="23" borderId="3" xfId="0" applyFont="1" applyFill="1" applyBorder="1" applyAlignment="1">
      <alignment horizontal="right"/>
    </xf>
    <xf numFmtId="37" fontId="23" fillId="18" borderId="3" xfId="0" applyNumberFormat="1" applyFont="1" applyFill="1" applyBorder="1" applyAlignment="1">
      <alignment horizontal="right"/>
    </xf>
    <xf numFmtId="1" fontId="22" fillId="23" borderId="3" xfId="0" applyNumberFormat="1" applyFont="1" applyFill="1" applyBorder="1" applyAlignment="1">
      <alignment horizontal="right"/>
    </xf>
    <xf numFmtId="0" fontId="23" fillId="19" borderId="3" xfId="0" applyFont="1" applyFill="1" applyBorder="1" applyAlignment="1">
      <alignment horizontal="right"/>
    </xf>
    <xf numFmtId="3" fontId="22" fillId="0" borderId="3" xfId="0" applyNumberFormat="1" applyFont="1" applyBorder="1" applyAlignment="1">
      <alignment horizontal="right"/>
    </xf>
    <xf numFmtId="0" fontId="27" fillId="0" borderId="0" xfId="0" applyFont="1" applyAlignment="1">
      <alignment horizontal="right"/>
    </xf>
    <xf numFmtId="0" fontId="33" fillId="18" borderId="0" xfId="0" applyFont="1" applyFill="1" applyAlignment="1">
      <alignment horizontal="right"/>
    </xf>
    <xf numFmtId="3" fontId="33" fillId="10" borderId="0" xfId="0" applyNumberFormat="1" applyFont="1" applyFill="1" applyAlignment="1">
      <alignment horizontal="right"/>
    </xf>
    <xf numFmtId="3" fontId="33" fillId="14" borderId="0" xfId="0" applyNumberFormat="1" applyFont="1" applyFill="1" applyAlignment="1">
      <alignment horizontal="right"/>
    </xf>
    <xf numFmtId="0" fontId="42" fillId="30" borderId="10" xfId="21" applyFont="1" applyFill="1" applyBorder="1"/>
    <xf numFmtId="0" fontId="23" fillId="30" borderId="10" xfId="0" applyFont="1" applyFill="1" applyBorder="1" applyAlignment="1">
      <alignment horizontal="center"/>
    </xf>
    <xf numFmtId="0" fontId="23" fillId="30" borderId="10" xfId="0" applyFont="1" applyFill="1" applyBorder="1" applyAlignment="1">
      <alignment horizontal="right"/>
    </xf>
    <xf numFmtId="3" fontId="22" fillId="30" borderId="10" xfId="0" applyNumberFormat="1" applyFont="1" applyFill="1" applyBorder="1" applyAlignment="1">
      <alignment horizontal="right"/>
    </xf>
    <xf numFmtId="3" fontId="23" fillId="30" borderId="10" xfId="0" applyNumberFormat="1" applyFont="1" applyFill="1" applyBorder="1" applyAlignment="1">
      <alignment horizontal="right"/>
    </xf>
    <xf numFmtId="0" fontId="22" fillId="23" borderId="3" xfId="0" applyFont="1" applyFill="1" applyBorder="1"/>
    <xf numFmtId="165" fontId="22" fillId="11" borderId="2" xfId="0" applyNumberFormat="1" applyFont="1" applyFill="1" applyBorder="1" applyAlignment="1">
      <alignment horizontal="center"/>
    </xf>
    <xf numFmtId="0" fontId="22" fillId="12" borderId="0" xfId="0" applyFont="1" applyFill="1" applyAlignment="1">
      <alignment horizontal="right"/>
    </xf>
    <xf numFmtId="3" fontId="23" fillId="4" borderId="0" xfId="0" applyNumberFormat="1" applyFont="1" applyFill="1" applyAlignment="1">
      <alignment horizontal="right"/>
    </xf>
    <xf numFmtId="37" fontId="23" fillId="4" borderId="5" xfId="0" applyNumberFormat="1" applyFont="1" applyFill="1" applyBorder="1" applyAlignment="1">
      <alignment horizontal="right"/>
    </xf>
    <xf numFmtId="37" fontId="23" fillId="0" borderId="5" xfId="0" applyNumberFormat="1" applyFont="1" applyBorder="1" applyAlignment="1">
      <alignment horizontal="right"/>
    </xf>
    <xf numFmtId="37" fontId="22" fillId="12" borderId="5" xfId="0" applyNumberFormat="1" applyFont="1" applyFill="1" applyBorder="1" applyAlignment="1">
      <alignment horizontal="right"/>
    </xf>
    <xf numFmtId="37" fontId="23" fillId="12" borderId="5" xfId="0" applyNumberFormat="1" applyFont="1" applyFill="1" applyBorder="1" applyAlignment="1">
      <alignment horizontal="right"/>
    </xf>
    <xf numFmtId="37" fontId="23" fillId="20" borderId="5" xfId="0" applyNumberFormat="1" applyFont="1" applyFill="1" applyBorder="1" applyAlignment="1">
      <alignment horizontal="right"/>
    </xf>
    <xf numFmtId="37" fontId="23" fillId="10" borderId="5" xfId="0" applyNumberFormat="1" applyFont="1" applyFill="1" applyBorder="1" applyAlignment="1">
      <alignment horizontal="right"/>
    </xf>
    <xf numFmtId="37" fontId="23" fillId="14" borderId="5" xfId="0" applyNumberFormat="1" applyFont="1" applyFill="1" applyBorder="1" applyAlignment="1">
      <alignment horizontal="right"/>
    </xf>
    <xf numFmtId="37" fontId="22" fillId="26" borderId="0" xfId="0" applyNumberFormat="1" applyFont="1" applyFill="1" applyAlignment="1">
      <alignment horizontal="right"/>
    </xf>
    <xf numFmtId="37" fontId="23" fillId="4" borderId="0" xfId="0" applyNumberFormat="1" applyFont="1" applyFill="1" applyAlignment="1">
      <alignment horizontal="right"/>
    </xf>
    <xf numFmtId="37" fontId="23" fillId="0" borderId="0" xfId="0" applyNumberFormat="1" applyFont="1" applyAlignment="1">
      <alignment horizontal="right"/>
    </xf>
    <xf numFmtId="37" fontId="22" fillId="12" borderId="0" xfId="0" applyNumberFormat="1" applyFont="1" applyFill="1" applyAlignment="1">
      <alignment horizontal="right"/>
    </xf>
    <xf numFmtId="37" fontId="23" fillId="12" borderId="0" xfId="0" applyNumberFormat="1" applyFont="1" applyFill="1" applyAlignment="1">
      <alignment horizontal="right"/>
    </xf>
    <xf numFmtId="37" fontId="23" fillId="20" borderId="0" xfId="0" applyNumberFormat="1" applyFont="1" applyFill="1" applyAlignment="1">
      <alignment horizontal="right"/>
    </xf>
    <xf numFmtId="37" fontId="22" fillId="16" borderId="0" xfId="0" applyNumberFormat="1" applyFont="1" applyFill="1" applyAlignment="1">
      <alignment horizontal="right"/>
    </xf>
    <xf numFmtId="37" fontId="23" fillId="10" borderId="0" xfId="0" applyNumberFormat="1" applyFont="1" applyFill="1" applyAlignment="1">
      <alignment horizontal="right"/>
    </xf>
    <xf numFmtId="37" fontId="23" fillId="14" borderId="0" xfId="0" applyNumberFormat="1" applyFont="1" applyFill="1" applyAlignment="1">
      <alignment horizontal="right"/>
    </xf>
    <xf numFmtId="180" fontId="22" fillId="12" borderId="0" xfId="0" applyNumberFormat="1" applyFont="1" applyFill="1" applyAlignment="1">
      <alignment horizontal="right"/>
    </xf>
    <xf numFmtId="37" fontId="22" fillId="0" borderId="0" xfId="0" applyNumberFormat="1" applyFont="1" applyAlignment="1">
      <alignment horizontal="left"/>
    </xf>
    <xf numFmtId="180" fontId="22" fillId="0" borderId="0" xfId="0" applyNumberFormat="1" applyFont="1" applyAlignment="1">
      <alignment horizontal="right"/>
    </xf>
    <xf numFmtId="0" fontId="22" fillId="0" borderId="8" xfId="0" applyFont="1" applyBorder="1"/>
    <xf numFmtId="37" fontId="22" fillId="26" borderId="8" xfId="0" applyNumberFormat="1" applyFont="1" applyFill="1" applyBorder="1" applyAlignment="1">
      <alignment horizontal="right"/>
    </xf>
    <xf numFmtId="37" fontId="23" fillId="4" borderId="8" xfId="0" applyNumberFormat="1" applyFont="1" applyFill="1" applyBorder="1" applyAlignment="1">
      <alignment horizontal="right"/>
    </xf>
    <xf numFmtId="37" fontId="23" fillId="0" borderId="8" xfId="0" applyNumberFormat="1" applyFont="1" applyBorder="1" applyAlignment="1">
      <alignment horizontal="right"/>
    </xf>
    <xf numFmtId="37" fontId="23" fillId="20" borderId="8" xfId="0" applyNumberFormat="1" applyFont="1" applyFill="1" applyBorder="1" applyAlignment="1">
      <alignment horizontal="right"/>
    </xf>
    <xf numFmtId="37" fontId="23" fillId="10" borderId="8" xfId="0" applyNumberFormat="1" applyFont="1" applyFill="1" applyBorder="1" applyAlignment="1">
      <alignment horizontal="right"/>
    </xf>
    <xf numFmtId="37" fontId="23" fillId="14" borderId="8" xfId="0" applyNumberFormat="1" applyFont="1" applyFill="1" applyBorder="1" applyAlignment="1">
      <alignment horizontal="right"/>
    </xf>
    <xf numFmtId="37" fontId="24" fillId="0" borderId="0" xfId="0" applyNumberFormat="1" applyFont="1" applyAlignment="1">
      <alignment horizontal="right"/>
    </xf>
    <xf numFmtId="0" fontId="25" fillId="0" borderId="0" xfId="0" applyFont="1" applyAlignment="1">
      <alignment horizontal="center"/>
    </xf>
    <xf numFmtId="37" fontId="25" fillId="0" borderId="0" xfId="0" applyNumberFormat="1" applyFont="1" applyAlignment="1">
      <alignment horizontal="right"/>
    </xf>
    <xf numFmtId="37" fontId="40" fillId="0" borderId="0" xfId="0" applyNumberFormat="1" applyFont="1" applyAlignment="1">
      <alignment horizontal="right"/>
    </xf>
    <xf numFmtId="0" fontId="18" fillId="0" borderId="0" xfId="0" applyFont="1"/>
    <xf numFmtId="180" fontId="25" fillId="0" borderId="0" xfId="0" applyNumberFormat="1" applyFont="1" applyAlignment="1">
      <alignment horizontal="right"/>
    </xf>
    <xf numFmtId="3" fontId="51" fillId="10" borderId="0" xfId="0" applyNumberFormat="1" applyFont="1" applyFill="1" applyAlignment="1">
      <alignment horizontal="right"/>
    </xf>
    <xf numFmtId="37" fontId="24" fillId="26" borderId="8" xfId="0" applyNumberFormat="1" applyFont="1" applyFill="1" applyBorder="1" applyAlignment="1">
      <alignment horizontal="left"/>
    </xf>
    <xf numFmtId="0" fontId="24" fillId="0" borderId="8" xfId="0" applyFont="1" applyBorder="1"/>
    <xf numFmtId="37" fontId="24" fillId="26" borderId="8" xfId="0" applyNumberFormat="1" applyFont="1" applyFill="1" applyBorder="1" applyAlignment="1">
      <alignment horizontal="right"/>
    </xf>
    <xf numFmtId="37" fontId="26" fillId="4" borderId="8" xfId="0" applyNumberFormat="1" applyFont="1" applyFill="1" applyBorder="1" applyAlignment="1">
      <alignment horizontal="right"/>
    </xf>
    <xf numFmtId="37" fontId="26" fillId="0" borderId="8" xfId="0" applyNumberFormat="1" applyFont="1" applyBorder="1" applyAlignment="1">
      <alignment horizontal="right"/>
    </xf>
    <xf numFmtId="180" fontId="24" fillId="12" borderId="0" xfId="0" applyNumberFormat="1" applyFont="1" applyFill="1" applyAlignment="1">
      <alignment horizontal="right"/>
    </xf>
    <xf numFmtId="37" fontId="26" fillId="12" borderId="0" xfId="0" applyNumberFormat="1" applyFont="1" applyFill="1" applyAlignment="1">
      <alignment horizontal="right"/>
    </xf>
    <xf numFmtId="37" fontId="26" fillId="20" borderId="8" xfId="0" applyNumberFormat="1" applyFont="1" applyFill="1" applyBorder="1" applyAlignment="1">
      <alignment horizontal="right"/>
    </xf>
    <xf numFmtId="37" fontId="26" fillId="10" borderId="8" xfId="0" applyNumberFormat="1" applyFont="1" applyFill="1" applyBorder="1" applyAlignment="1">
      <alignment horizontal="right"/>
    </xf>
    <xf numFmtId="37" fontId="26" fillId="31" borderId="8" xfId="0" applyNumberFormat="1" applyFont="1" applyFill="1" applyBorder="1" applyAlignment="1">
      <alignment horizontal="right"/>
    </xf>
    <xf numFmtId="3" fontId="24" fillId="0" borderId="0" xfId="0" applyNumberFormat="1" applyFont="1"/>
    <xf numFmtId="0" fontId="52" fillId="0" borderId="0" xfId="0" applyFont="1"/>
    <xf numFmtId="37" fontId="22" fillId="25" borderId="4" xfId="0" applyNumberFormat="1" applyFont="1" applyFill="1" applyBorder="1" applyAlignment="1">
      <alignment horizontal="right"/>
    </xf>
    <xf numFmtId="37" fontId="23" fillId="4" borderId="4" xfId="0" applyNumberFormat="1" applyFont="1" applyFill="1" applyBorder="1" applyAlignment="1">
      <alignment horizontal="right"/>
    </xf>
    <xf numFmtId="37" fontId="23" fillId="0" borderId="4" xfId="0" applyNumberFormat="1" applyFont="1" applyBorder="1" applyAlignment="1">
      <alignment horizontal="right"/>
    </xf>
    <xf numFmtId="37" fontId="23" fillId="12" borderId="4" xfId="0" applyNumberFormat="1" applyFont="1" applyFill="1" applyBorder="1" applyAlignment="1">
      <alignment horizontal="right"/>
    </xf>
    <xf numFmtId="37" fontId="23" fillId="20" borderId="4" xfId="0" applyNumberFormat="1" applyFont="1" applyFill="1" applyBorder="1" applyAlignment="1">
      <alignment horizontal="right"/>
    </xf>
    <xf numFmtId="37" fontId="23" fillId="10" borderId="4" xfId="0" applyNumberFormat="1" applyFont="1" applyFill="1" applyBorder="1" applyAlignment="1">
      <alignment horizontal="right"/>
    </xf>
    <xf numFmtId="37" fontId="23" fillId="0" borderId="3" xfId="0" applyNumberFormat="1" applyFont="1" applyBorder="1" applyAlignment="1">
      <alignment horizontal="right"/>
    </xf>
    <xf numFmtId="37" fontId="23" fillId="12" borderId="3" xfId="0" applyNumberFormat="1" applyFont="1" applyFill="1" applyBorder="1" applyAlignment="1">
      <alignment horizontal="right"/>
    </xf>
    <xf numFmtId="0" fontId="22" fillId="22" borderId="3" xfId="0" applyFont="1" applyFill="1" applyBorder="1"/>
    <xf numFmtId="37" fontId="22" fillId="22" borderId="3" xfId="0" applyNumberFormat="1" applyFont="1" applyFill="1" applyBorder="1" applyAlignment="1">
      <alignment horizontal="right"/>
    </xf>
    <xf numFmtId="37" fontId="22" fillId="4" borderId="3" xfId="0" applyNumberFormat="1" applyFont="1" applyFill="1" applyBorder="1" applyAlignment="1">
      <alignment horizontal="right"/>
    </xf>
    <xf numFmtId="37" fontId="22" fillId="20" borderId="10" xfId="0" applyNumberFormat="1" applyFont="1" applyFill="1" applyBorder="1" applyAlignment="1">
      <alignment horizontal="right"/>
    </xf>
    <xf numFmtId="37" fontId="22" fillId="10" borderId="10" xfId="0" applyNumberFormat="1" applyFont="1" applyFill="1" applyBorder="1" applyAlignment="1">
      <alignment horizontal="right"/>
    </xf>
    <xf numFmtId="37" fontId="53" fillId="4" borderId="0" xfId="0" applyNumberFormat="1" applyFont="1" applyFill="1" applyAlignment="1">
      <alignment horizontal="right"/>
    </xf>
    <xf numFmtId="37" fontId="53" fillId="0" borderId="0" xfId="0" applyNumberFormat="1" applyFont="1" applyAlignment="1">
      <alignment horizontal="right"/>
    </xf>
    <xf numFmtId="37" fontId="53" fillId="20" borderId="0" xfId="0" applyNumberFormat="1" applyFont="1" applyFill="1" applyAlignment="1">
      <alignment horizontal="right"/>
    </xf>
    <xf numFmtId="37" fontId="53" fillId="10" borderId="0" xfId="0" applyNumberFormat="1" applyFont="1" applyFill="1" applyAlignment="1">
      <alignment horizontal="right"/>
    </xf>
    <xf numFmtId="37" fontId="22" fillId="26" borderId="0" xfId="0" applyNumberFormat="1" applyFont="1" applyFill="1" applyAlignment="1">
      <alignment horizontal="left"/>
    </xf>
    <xf numFmtId="165" fontId="22" fillId="0" borderId="0" xfId="0" applyNumberFormat="1" applyFont="1"/>
    <xf numFmtId="37" fontId="23" fillId="31" borderId="0" xfId="0" applyNumberFormat="1" applyFont="1" applyFill="1" applyAlignment="1">
      <alignment horizontal="right"/>
    </xf>
    <xf numFmtId="37" fontId="24" fillId="0" borderId="0" xfId="0" applyNumberFormat="1" applyFont="1" applyAlignment="1">
      <alignment horizontal="left"/>
    </xf>
    <xf numFmtId="3" fontId="24" fillId="0" borderId="0" xfId="0" applyNumberFormat="1" applyFont="1" applyAlignment="1">
      <alignment horizontal="right"/>
    </xf>
    <xf numFmtId="37" fontId="26" fillId="0" borderId="0" xfId="0" applyNumberFormat="1" applyFont="1" applyAlignment="1">
      <alignment horizontal="right"/>
    </xf>
    <xf numFmtId="0" fontId="24" fillId="12" borderId="0" xfId="0" applyFont="1" applyFill="1"/>
    <xf numFmtId="37" fontId="26" fillId="20" borderId="0" xfId="0" applyNumberFormat="1" applyFont="1" applyFill="1" applyAlignment="1">
      <alignment horizontal="right"/>
    </xf>
    <xf numFmtId="37" fontId="26" fillId="10" borderId="0" xfId="0" applyNumberFormat="1" applyFont="1" applyFill="1" applyAlignment="1">
      <alignment horizontal="right"/>
    </xf>
    <xf numFmtId="37" fontId="27" fillId="0" borderId="0" xfId="0" applyNumberFormat="1" applyFont="1"/>
    <xf numFmtId="37" fontId="27" fillId="0" borderId="0" xfId="0" applyNumberFormat="1" applyFont="1" applyAlignment="1">
      <alignment horizontal="center"/>
    </xf>
    <xf numFmtId="37" fontId="22" fillId="0" borderId="0" xfId="0" applyNumberFormat="1" applyFont="1" applyAlignment="1">
      <alignment horizontal="center"/>
    </xf>
    <xf numFmtId="37" fontId="25" fillId="0" borderId="4" xfId="0" applyNumberFormat="1" applyFont="1" applyBorder="1" applyAlignment="1">
      <alignment horizontal="right"/>
    </xf>
    <xf numFmtId="37" fontId="23" fillId="14" borderId="4" xfId="0" applyNumberFormat="1" applyFont="1" applyFill="1" applyBorder="1" applyAlignment="1">
      <alignment horizontal="right"/>
    </xf>
    <xf numFmtId="37" fontId="22" fillId="20" borderId="0" xfId="0" applyNumberFormat="1" applyFont="1" applyFill="1" applyAlignment="1">
      <alignment horizontal="right"/>
    </xf>
    <xf numFmtId="37" fontId="24" fillId="0" borderId="5" xfId="0" applyNumberFormat="1" applyFont="1" applyBorder="1" applyAlignment="1">
      <alignment horizontal="right"/>
    </xf>
    <xf numFmtId="37" fontId="53" fillId="0" borderId="5" xfId="0" applyNumberFormat="1" applyFont="1" applyBorder="1" applyAlignment="1">
      <alignment horizontal="right"/>
    </xf>
    <xf numFmtId="37" fontId="23" fillId="0" borderId="0" xfId="0" applyNumberFormat="1" applyFont="1" applyAlignment="1">
      <alignment horizontal="center"/>
    </xf>
    <xf numFmtId="37" fontId="27" fillId="0" borderId="5" xfId="0" applyNumberFormat="1" applyFont="1" applyBorder="1"/>
    <xf numFmtId="37" fontId="24" fillId="0" borderId="7" xfId="0" applyNumberFormat="1" applyFont="1" applyBorder="1" applyAlignment="1">
      <alignment horizontal="left"/>
    </xf>
    <xf numFmtId="171" fontId="24" fillId="0" borderId="0" xfId="0" applyNumberFormat="1" applyFont="1"/>
    <xf numFmtId="37" fontId="24" fillId="0" borderId="0" xfId="0" applyNumberFormat="1" applyFont="1"/>
    <xf numFmtId="37" fontId="24" fillId="0" borderId="7" xfId="0" applyNumberFormat="1" applyFont="1" applyBorder="1" applyAlignment="1">
      <alignment horizontal="right"/>
    </xf>
    <xf numFmtId="37" fontId="26" fillId="4" borderId="0" xfId="0" applyNumberFormat="1" applyFont="1" applyFill="1" applyAlignment="1">
      <alignment horizontal="right"/>
    </xf>
    <xf numFmtId="37" fontId="26" fillId="14" borderId="0" xfId="0" applyNumberFormat="1" applyFont="1" applyFill="1" applyAlignment="1">
      <alignment horizontal="right"/>
    </xf>
    <xf numFmtId="37" fontId="24" fillId="26" borderId="4" xfId="0" applyNumberFormat="1" applyFont="1" applyFill="1" applyBorder="1" applyAlignment="1">
      <alignment horizontal="left"/>
    </xf>
    <xf numFmtId="37" fontId="24" fillId="0" borderId="4" xfId="0" applyNumberFormat="1" applyFont="1" applyBorder="1"/>
    <xf numFmtId="37" fontId="24" fillId="26" borderId="4" xfId="0" applyNumberFormat="1" applyFont="1" applyFill="1" applyBorder="1" applyAlignment="1">
      <alignment horizontal="right"/>
    </xf>
    <xf numFmtId="37" fontId="26" fillId="4" borderId="4" xfId="0" applyNumberFormat="1" applyFont="1" applyFill="1" applyBorder="1" applyAlignment="1">
      <alignment horizontal="right"/>
    </xf>
    <xf numFmtId="37" fontId="26" fillId="0" borderId="4" xfId="0" applyNumberFormat="1" applyFont="1" applyBorder="1" applyAlignment="1">
      <alignment horizontal="right"/>
    </xf>
    <xf numFmtId="37" fontId="26" fillId="20" borderId="4" xfId="0" applyNumberFormat="1" applyFont="1" applyFill="1" applyBorder="1" applyAlignment="1">
      <alignment horizontal="right"/>
    </xf>
    <xf numFmtId="37" fontId="26" fillId="10" borderId="4" xfId="0" applyNumberFormat="1" applyFont="1" applyFill="1" applyBorder="1" applyAlignment="1">
      <alignment horizontal="right"/>
    </xf>
    <xf numFmtId="37" fontId="26" fillId="14" borderId="4" xfId="0" applyNumberFormat="1" applyFont="1" applyFill="1" applyBorder="1" applyAlignment="1">
      <alignment horizontal="right"/>
    </xf>
    <xf numFmtId="37" fontId="24" fillId="26" borderId="3" xfId="0" applyNumberFormat="1" applyFont="1" applyFill="1" applyBorder="1"/>
    <xf numFmtId="37" fontId="24" fillId="0" borderId="3" xfId="0" applyNumberFormat="1" applyFont="1" applyBorder="1"/>
    <xf numFmtId="37" fontId="24" fillId="26" borderId="3" xfId="0" applyNumberFormat="1" applyFont="1" applyFill="1" applyBorder="1" applyAlignment="1">
      <alignment horizontal="right"/>
    </xf>
    <xf numFmtId="37" fontId="26" fillId="0" borderId="3" xfId="0" applyNumberFormat="1" applyFont="1" applyBorder="1" applyAlignment="1">
      <alignment horizontal="right"/>
    </xf>
    <xf numFmtId="37" fontId="48" fillId="0" borderId="0" xfId="0" applyNumberFormat="1" applyFont="1"/>
    <xf numFmtId="180" fontId="22" fillId="0" borderId="0" xfId="0" applyNumberFormat="1" applyFont="1" applyAlignment="1">
      <alignment horizontal="center"/>
    </xf>
    <xf numFmtId="180" fontId="24" fillId="0" borderId="3" xfId="0" applyNumberFormat="1" applyFont="1" applyBorder="1"/>
    <xf numFmtId="180" fontId="24" fillId="0" borderId="3" xfId="0" applyNumberFormat="1" applyFont="1" applyBorder="1" applyAlignment="1">
      <alignment horizontal="right"/>
    </xf>
    <xf numFmtId="180" fontId="26" fillId="4" borderId="10" xfId="0" applyNumberFormat="1" applyFont="1" applyFill="1" applyBorder="1" applyAlignment="1">
      <alignment horizontal="right"/>
    </xf>
    <xf numFmtId="180" fontId="26" fillId="0" borderId="10" xfId="0" applyNumberFormat="1" applyFont="1" applyBorder="1" applyAlignment="1">
      <alignment horizontal="right"/>
    </xf>
    <xf numFmtId="180" fontId="26" fillId="12" borderId="0" xfId="0" applyNumberFormat="1" applyFont="1" applyFill="1" applyAlignment="1">
      <alignment horizontal="right"/>
    </xf>
    <xf numFmtId="180" fontId="26" fillId="0" borderId="3" xfId="0" applyNumberFormat="1" applyFont="1" applyBorder="1" applyAlignment="1">
      <alignment horizontal="right"/>
    </xf>
    <xf numFmtId="180" fontId="26" fillId="20" borderId="10" xfId="0" applyNumberFormat="1" applyFont="1" applyFill="1" applyBorder="1" applyAlignment="1">
      <alignment horizontal="right"/>
    </xf>
    <xf numFmtId="180" fontId="26" fillId="10" borderId="10" xfId="0" applyNumberFormat="1" applyFont="1" applyFill="1" applyBorder="1" applyAlignment="1">
      <alignment horizontal="right"/>
    </xf>
    <xf numFmtId="180" fontId="26" fillId="14" borderId="10" xfId="0" applyNumberFormat="1" applyFont="1" applyFill="1" applyBorder="1" applyAlignment="1">
      <alignment horizontal="right"/>
    </xf>
    <xf numFmtId="180" fontId="27" fillId="0" borderId="0" xfId="0" applyNumberFormat="1" applyFont="1"/>
    <xf numFmtId="180" fontId="22" fillId="0" borderId="0" xfId="0" applyNumberFormat="1" applyFont="1"/>
    <xf numFmtId="37" fontId="23" fillId="4" borderId="10" xfId="0" applyNumberFormat="1" applyFont="1" applyFill="1" applyBorder="1" applyAlignment="1">
      <alignment horizontal="right"/>
    </xf>
    <xf numFmtId="37" fontId="23" fillId="0" borderId="10" xfId="0" applyNumberFormat="1" applyFont="1" applyBorder="1" applyAlignment="1">
      <alignment horizontal="right"/>
    </xf>
    <xf numFmtId="37" fontId="54" fillId="0" borderId="3" xfId="0" applyNumberFormat="1" applyFont="1" applyBorder="1" applyAlignment="1">
      <alignment horizontal="right"/>
    </xf>
    <xf numFmtId="37" fontId="54" fillId="4" borderId="3" xfId="0" applyNumberFormat="1" applyFont="1" applyFill="1" applyBorder="1" applyAlignment="1">
      <alignment horizontal="right"/>
    </xf>
    <xf numFmtId="37" fontId="22" fillId="12" borderId="3" xfId="0" applyNumberFormat="1" applyFont="1" applyFill="1" applyBorder="1" applyAlignment="1">
      <alignment horizontal="right"/>
    </xf>
    <xf numFmtId="37" fontId="22" fillId="20" borderId="3" xfId="0" applyNumberFormat="1" applyFont="1" applyFill="1" applyBorder="1" applyAlignment="1">
      <alignment horizontal="right"/>
    </xf>
    <xf numFmtId="37" fontId="22" fillId="10" borderId="3" xfId="0" applyNumberFormat="1" applyFont="1" applyFill="1" applyBorder="1" applyAlignment="1">
      <alignment horizontal="right"/>
    </xf>
    <xf numFmtId="37" fontId="22" fillId="11" borderId="3" xfId="0" applyNumberFormat="1" applyFont="1" applyFill="1" applyBorder="1" applyAlignment="1">
      <alignment horizontal="right"/>
    </xf>
    <xf numFmtId="37" fontId="22" fillId="25" borderId="3" xfId="0" applyNumberFormat="1" applyFont="1" applyFill="1" applyBorder="1" applyAlignment="1">
      <alignment horizontal="right"/>
    </xf>
    <xf numFmtId="3" fontId="28" fillId="11" borderId="0" xfId="21" applyNumberFormat="1" applyFont="1" applyFill="1"/>
    <xf numFmtId="0" fontId="12" fillId="0" borderId="0" xfId="21"/>
    <xf numFmtId="0" fontId="12" fillId="0" borderId="0" xfId="21" applyAlignment="1">
      <alignment horizontal="center"/>
    </xf>
    <xf numFmtId="0" fontId="55" fillId="0" borderId="0" xfId="21" applyFont="1"/>
    <xf numFmtId="0" fontId="55" fillId="0" borderId="0" xfId="21" applyFont="1" applyAlignment="1">
      <alignment horizontal="center"/>
    </xf>
    <xf numFmtId="0" fontId="55" fillId="22" borderId="0" xfId="21" applyFont="1" applyFill="1" applyAlignment="1">
      <alignment horizontal="center"/>
    </xf>
    <xf numFmtId="14" fontId="55" fillId="0" borderId="0" xfId="21" applyNumberFormat="1" applyFont="1" applyAlignment="1">
      <alignment horizontal="center"/>
    </xf>
    <xf numFmtId="14" fontId="55" fillId="22" borderId="0" xfId="21" applyNumberFormat="1" applyFont="1" applyFill="1" applyAlignment="1">
      <alignment horizontal="center"/>
    </xf>
    <xf numFmtId="0" fontId="12" fillId="0" borderId="3" xfId="21" applyBorder="1"/>
    <xf numFmtId="0" fontId="12" fillId="22" borderId="3" xfId="21" applyFill="1" applyBorder="1"/>
    <xf numFmtId="0" fontId="12" fillId="22" borderId="0" xfId="21" applyFill="1"/>
    <xf numFmtId="3" fontId="12" fillId="26" borderId="0" xfId="21" applyNumberFormat="1" applyFill="1"/>
    <xf numFmtId="4" fontId="12" fillId="0" borderId="0" xfId="21" applyNumberFormat="1"/>
    <xf numFmtId="0" fontId="12" fillId="20" borderId="0" xfId="21" applyFill="1"/>
    <xf numFmtId="4" fontId="12" fillId="20" borderId="0" xfId="21" applyNumberFormat="1" applyFill="1"/>
    <xf numFmtId="3" fontId="12" fillId="20" borderId="0" xfId="21" applyNumberFormat="1" applyFill="1"/>
    <xf numFmtId="3" fontId="12" fillId="0" borderId="0" xfId="21" applyNumberFormat="1"/>
    <xf numFmtId="4" fontId="52" fillId="26" borderId="0" xfId="21" applyNumberFormat="1" applyFont="1" applyFill="1"/>
    <xf numFmtId="4" fontId="12" fillId="26" borderId="0" xfId="21" applyNumberFormat="1" applyFill="1"/>
    <xf numFmtId="0" fontId="12" fillId="32" borderId="0" xfId="21" applyFill="1"/>
    <xf numFmtId="4" fontId="12" fillId="32" borderId="0" xfId="21" applyNumberFormat="1" applyFill="1"/>
    <xf numFmtId="0" fontId="12" fillId="13" borderId="0" xfId="21" applyFill="1"/>
    <xf numFmtId="4" fontId="12" fillId="13" borderId="0" xfId="21" applyNumberFormat="1" applyFill="1"/>
    <xf numFmtId="3" fontId="12" fillId="13" borderId="0" xfId="21" applyNumberFormat="1" applyFill="1"/>
    <xf numFmtId="4" fontId="52" fillId="13" borderId="0" xfId="21" applyNumberFormat="1" applyFont="1" applyFill="1"/>
    <xf numFmtId="0" fontId="12" fillId="33" borderId="10" xfId="21" applyFill="1" applyBorder="1"/>
    <xf numFmtId="3" fontId="12" fillId="33" borderId="10" xfId="21" applyNumberFormat="1" applyFill="1" applyBorder="1"/>
    <xf numFmtId="4" fontId="18" fillId="0" borderId="0" xfId="21" applyNumberFormat="1" applyFont="1"/>
    <xf numFmtId="0" fontId="12" fillId="34" borderId="0" xfId="21" applyFill="1"/>
    <xf numFmtId="3" fontId="12" fillId="34" borderId="0" xfId="21" applyNumberFormat="1" applyFill="1"/>
    <xf numFmtId="181" fontId="12" fillId="0" borderId="0" xfId="21" applyNumberFormat="1"/>
    <xf numFmtId="0" fontId="55" fillId="14" borderId="0" xfId="21" applyFont="1" applyFill="1" applyAlignment="1">
      <alignment horizontal="center"/>
    </xf>
    <xf numFmtId="4" fontId="17" fillId="0" borderId="0" xfId="21" applyNumberFormat="1" applyFont="1"/>
    <xf numFmtId="3" fontId="17" fillId="0" borderId="0" xfId="21" applyNumberFormat="1" applyFont="1"/>
    <xf numFmtId="3" fontId="52" fillId="0" borderId="0" xfId="21" applyNumberFormat="1" applyFont="1"/>
    <xf numFmtId="4" fontId="56" fillId="0" borderId="0" xfId="21" applyNumberFormat="1" applyFont="1"/>
    <xf numFmtId="3" fontId="57" fillId="0" borderId="0" xfId="21" applyNumberFormat="1" applyFont="1"/>
    <xf numFmtId="3" fontId="18" fillId="0" borderId="0" xfId="21" applyNumberFormat="1" applyFont="1"/>
    <xf numFmtId="4" fontId="55" fillId="0" borderId="0" xfId="21" applyNumberFormat="1" applyFont="1"/>
    <xf numFmtId="0" fontId="17" fillId="0" borderId="0" xfId="21" applyFont="1"/>
    <xf numFmtId="0" fontId="0" fillId="0" borderId="0" xfId="21" applyFont="1"/>
    <xf numFmtId="3" fontId="57" fillId="28" borderId="0" xfId="21" applyNumberFormat="1" applyFont="1" applyFill="1"/>
    <xf numFmtId="0" fontId="55" fillId="35" borderId="0" xfId="21" applyFont="1" applyFill="1"/>
    <xf numFmtId="4" fontId="57" fillId="35" borderId="0" xfId="21" applyNumberFormat="1" applyFont="1" applyFill="1"/>
    <xf numFmtId="180" fontId="57" fillId="35" borderId="0" xfId="21" applyNumberFormat="1" applyFont="1" applyFill="1"/>
    <xf numFmtId="4" fontId="52" fillId="0" borderId="0" xfId="21" applyNumberFormat="1" applyFont="1"/>
    <xf numFmtId="0" fontId="12" fillId="0" borderId="5" xfId="21" applyBorder="1" applyAlignment="1">
      <alignment horizontal="center"/>
    </xf>
    <xf numFmtId="0" fontId="55" fillId="0" borderId="5" xfId="21" applyFont="1" applyBorder="1"/>
    <xf numFmtId="3" fontId="12" fillId="0" borderId="5" xfId="21" applyNumberFormat="1" applyBorder="1"/>
    <xf numFmtId="0" fontId="12" fillId="0" borderId="5" xfId="21" applyBorder="1"/>
    <xf numFmtId="180" fontId="57" fillId="0" borderId="0" xfId="21" applyNumberFormat="1" applyFont="1"/>
    <xf numFmtId="180" fontId="55" fillId="0" borderId="0" xfId="21" applyNumberFormat="1" applyFont="1"/>
    <xf numFmtId="180" fontId="58" fillId="0" borderId="0" xfId="21" applyNumberFormat="1" applyFont="1"/>
    <xf numFmtId="3" fontId="58" fillId="0" borderId="0" xfId="21" applyNumberFormat="1" applyFont="1"/>
    <xf numFmtId="3" fontId="55" fillId="0" borderId="0" xfId="21" applyNumberFormat="1" applyFont="1"/>
    <xf numFmtId="0" fontId="59" fillId="0" borderId="0" xfId="0" applyFont="1"/>
    <xf numFmtId="14" fontId="0" fillId="0" borderId="0" xfId="0" applyNumberFormat="1" applyAlignment="1">
      <alignment horizontal="center"/>
    </xf>
    <xf numFmtId="181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14" borderId="0" xfId="0" applyFill="1" applyAlignment="1">
      <alignment horizontal="center"/>
    </xf>
    <xf numFmtId="4" fontId="0" fillId="14" borderId="0" xfId="1" applyNumberFormat="1" applyFont="1" applyFill="1" applyBorder="1" applyProtection="1"/>
    <xf numFmtId="4" fontId="0" fillId="0" borderId="0" xfId="1" applyNumberFormat="1" applyFont="1" applyBorder="1" applyProtection="1"/>
    <xf numFmtId="181" fontId="0" fillId="0" borderId="0" xfId="0" applyNumberFormat="1"/>
    <xf numFmtId="182" fontId="0" fillId="0" borderId="3" xfId="1" applyFont="1" applyBorder="1" applyProtection="1"/>
    <xf numFmtId="4" fontId="0" fillId="0" borderId="3" xfId="1" applyNumberFormat="1" applyFont="1" applyBorder="1" applyProtection="1"/>
    <xf numFmtId="182" fontId="0" fillId="0" borderId="0" xfId="1" applyFont="1" applyBorder="1" applyProtection="1"/>
    <xf numFmtId="0" fontId="0" fillId="0" borderId="22" xfId="0" applyBorder="1" applyAlignment="1">
      <alignment horizontal="center"/>
    </xf>
    <xf numFmtId="0" fontId="0" fillId="0" borderId="22" xfId="0" applyBorder="1"/>
    <xf numFmtId="182" fontId="0" fillId="0" borderId="22" xfId="1" applyFont="1" applyBorder="1" applyProtection="1"/>
    <xf numFmtId="4" fontId="0" fillId="0" borderId="22" xfId="1" applyNumberFormat="1" applyFont="1" applyBorder="1" applyProtection="1"/>
    <xf numFmtId="49" fontId="0" fillId="0" borderId="0" xfId="0" applyNumberFormat="1" applyAlignment="1">
      <alignment horizontal="center"/>
    </xf>
    <xf numFmtId="4" fontId="0" fillId="13" borderId="0" xfId="1" applyNumberFormat="1" applyFont="1" applyFill="1" applyBorder="1" applyProtection="1"/>
    <xf numFmtId="4" fontId="0" fillId="20" borderId="0" xfId="1" applyNumberFormat="1" applyFont="1" applyFill="1" applyBorder="1" applyProtection="1"/>
    <xf numFmtId="4" fontId="17" fillId="0" borderId="0" xfId="1" applyNumberFormat="1" applyFont="1" applyBorder="1" applyProtection="1"/>
    <xf numFmtId="4" fontId="17" fillId="0" borderId="0" xfId="0" applyNumberFormat="1" applyFont="1"/>
    <xf numFmtId="0" fontId="23" fillId="18" borderId="0" xfId="0" applyFont="1" applyFill="1" applyAlignment="1">
      <alignment horizontal="center"/>
    </xf>
    <xf numFmtId="0" fontId="22" fillId="18" borderId="0" xfId="0" applyFont="1" applyFill="1" applyAlignment="1">
      <alignment horizontal="center"/>
    </xf>
    <xf numFmtId="0" fontId="38" fillId="18" borderId="0" xfId="0" applyFont="1" applyFill="1"/>
    <xf numFmtId="0" fontId="38" fillId="26" borderId="0" xfId="0" applyFont="1" applyFill="1"/>
    <xf numFmtId="0" fontId="38" fillId="12" borderId="0" xfId="0" applyFont="1" applyFill="1"/>
    <xf numFmtId="0" fontId="38" fillId="20" borderId="0" xfId="0" applyFont="1" applyFill="1"/>
    <xf numFmtId="0" fontId="60" fillId="0" borderId="0" xfId="0" applyFont="1"/>
    <xf numFmtId="0" fontId="38" fillId="16" borderId="7" xfId="0" applyFont="1" applyFill="1" applyBorder="1"/>
    <xf numFmtId="0" fontId="62" fillId="0" borderId="0" xfId="0" applyFont="1"/>
    <xf numFmtId="0" fontId="60" fillId="23" borderId="3" xfId="0" applyFont="1" applyFill="1" applyBorder="1"/>
    <xf numFmtId="0" fontId="60" fillId="18" borderId="3" xfId="0" applyFont="1" applyFill="1" applyBorder="1"/>
    <xf numFmtId="0" fontId="60" fillId="26" borderId="3" xfId="0" applyFont="1" applyFill="1" applyBorder="1"/>
    <xf numFmtId="0" fontId="60" fillId="12" borderId="3" xfId="0" applyFont="1" applyFill="1" applyBorder="1"/>
    <xf numFmtId="0" fontId="60" fillId="23" borderId="15" xfId="0" applyFont="1" applyFill="1" applyBorder="1"/>
    <xf numFmtId="0" fontId="60" fillId="20" borderId="0" xfId="0" applyFont="1" applyFill="1"/>
    <xf numFmtId="0" fontId="60" fillId="0" borderId="10" xfId="0" applyFont="1" applyBorder="1"/>
    <xf numFmtId="0" fontId="60" fillId="18" borderId="10" xfId="0" applyFont="1" applyFill="1" applyBorder="1"/>
    <xf numFmtId="4" fontId="60" fillId="0" borderId="10" xfId="0" applyNumberFormat="1" applyFont="1" applyBorder="1"/>
    <xf numFmtId="4" fontId="60" fillId="26" borderId="10" xfId="0" applyNumberFormat="1" applyFont="1" applyFill="1" applyBorder="1"/>
    <xf numFmtId="0" fontId="60" fillId="12" borderId="10" xfId="0" applyFont="1" applyFill="1" applyBorder="1"/>
    <xf numFmtId="0" fontId="62" fillId="20" borderId="0" xfId="0" applyFont="1" applyFill="1" applyAlignment="1">
      <alignment horizontal="right"/>
    </xf>
    <xf numFmtId="4" fontId="38" fillId="0" borderId="0" xfId="0" applyNumberFormat="1" applyFont="1"/>
    <xf numFmtId="183" fontId="62" fillId="20" borderId="0" xfId="0" applyNumberFormat="1" applyFont="1" applyFill="1"/>
    <xf numFmtId="4" fontId="49" fillId="0" borderId="0" xfId="0" applyNumberFormat="1" applyFont="1"/>
    <xf numFmtId="0" fontId="62" fillId="0" borderId="5" xfId="0" applyFont="1" applyBorder="1"/>
    <xf numFmtId="174" fontId="60" fillId="0" borderId="5" xfId="0" applyNumberFormat="1" applyFont="1" applyBorder="1"/>
    <xf numFmtId="0" fontId="60" fillId="0" borderId="5" xfId="0" applyFont="1" applyBorder="1"/>
    <xf numFmtId="14" fontId="60" fillId="0" borderId="5" xfId="0" applyNumberFormat="1" applyFont="1" applyBorder="1"/>
    <xf numFmtId="0" fontId="60" fillId="18" borderId="5" xfId="0" applyFont="1" applyFill="1" applyBorder="1"/>
    <xf numFmtId="0" fontId="60" fillId="26" borderId="5" xfId="0" applyFont="1" applyFill="1" applyBorder="1"/>
    <xf numFmtId="0" fontId="60" fillId="12" borderId="5" xfId="0" applyFont="1" applyFill="1" applyBorder="1"/>
    <xf numFmtId="3" fontId="60" fillId="37" borderId="5" xfId="0" applyNumberFormat="1" applyFont="1" applyFill="1" applyBorder="1"/>
    <xf numFmtId="3" fontId="60" fillId="12" borderId="5" xfId="0" applyNumberFormat="1" applyFont="1" applyFill="1" applyBorder="1"/>
    <xf numFmtId="0" fontId="60" fillId="0" borderId="3" xfId="0" applyFont="1" applyBorder="1"/>
    <xf numFmtId="178" fontId="60" fillId="37" borderId="3" xfId="0" applyNumberFormat="1" applyFont="1" applyFill="1" applyBorder="1" applyAlignment="1">
      <alignment horizontal="right"/>
    </xf>
    <xf numFmtId="165" fontId="62" fillId="0" borderId="0" xfId="0" applyNumberFormat="1" applyFont="1"/>
    <xf numFmtId="0" fontId="60" fillId="18" borderId="0" xfId="0" applyFont="1" applyFill="1"/>
    <xf numFmtId="0" fontId="60" fillId="26" borderId="0" xfId="0" applyFont="1" applyFill="1"/>
    <xf numFmtId="0" fontId="60" fillId="12" borderId="0" xfId="0" applyFont="1" applyFill="1"/>
    <xf numFmtId="3" fontId="61" fillId="37" borderId="0" xfId="0" applyNumberFormat="1" applyFont="1" applyFill="1" applyAlignment="1">
      <alignment horizontal="right"/>
    </xf>
    <xf numFmtId="3" fontId="60" fillId="12" borderId="0" xfId="0" applyNumberFormat="1" applyFont="1" applyFill="1"/>
    <xf numFmtId="3" fontId="38" fillId="20" borderId="0" xfId="0" applyNumberFormat="1" applyFont="1" applyFill="1"/>
    <xf numFmtId="0" fontId="60" fillId="37" borderId="5" xfId="0" applyFont="1" applyFill="1" applyBorder="1"/>
    <xf numFmtId="174" fontId="60" fillId="37" borderId="5" xfId="0" applyNumberFormat="1" applyFont="1" applyFill="1" applyBorder="1"/>
    <xf numFmtId="14" fontId="60" fillId="37" borderId="5" xfId="0" applyNumberFormat="1" applyFont="1" applyFill="1" applyBorder="1"/>
    <xf numFmtId="0" fontId="60" fillId="37" borderId="0" xfId="0" applyFont="1" applyFill="1"/>
    <xf numFmtId="0" fontId="60" fillId="37" borderId="3" xfId="0" applyFont="1" applyFill="1" applyBorder="1"/>
    <xf numFmtId="0" fontId="38" fillId="37" borderId="0" xfId="0" applyFont="1" applyFill="1"/>
    <xf numFmtId="166" fontId="63" fillId="0" borderId="0" xfId="23" applyFont="1"/>
    <xf numFmtId="166" fontId="64" fillId="0" borderId="0" xfId="23" applyFont="1"/>
    <xf numFmtId="184" fontId="65" fillId="0" borderId="0" xfId="23" applyNumberFormat="1" applyFont="1"/>
    <xf numFmtId="166" fontId="65" fillId="0" borderId="0" xfId="23" applyFont="1"/>
    <xf numFmtId="184" fontId="65" fillId="0" borderId="0" xfId="23" applyNumberFormat="1" applyFont="1" applyAlignment="1">
      <alignment horizontal="center"/>
    </xf>
    <xf numFmtId="166" fontId="63" fillId="0" borderId="0" xfId="23" applyFont="1" applyAlignment="1">
      <alignment horizontal="right"/>
    </xf>
    <xf numFmtId="184" fontId="0" fillId="0" borderId="0" xfId="0" applyNumberFormat="1"/>
    <xf numFmtId="166" fontId="65" fillId="0" borderId="3" xfId="23" applyFont="1" applyBorder="1"/>
    <xf numFmtId="184" fontId="65" fillId="0" borderId="3" xfId="23" applyNumberFormat="1" applyFont="1" applyBorder="1"/>
    <xf numFmtId="184" fontId="63" fillId="0" borderId="0" xfId="23" applyNumberFormat="1" applyFont="1"/>
    <xf numFmtId="184" fontId="66" fillId="0" borderId="0" xfId="23" applyNumberFormat="1" applyFont="1"/>
    <xf numFmtId="166" fontId="65" fillId="0" borderId="5" xfId="23" applyFont="1" applyBorder="1"/>
    <xf numFmtId="184" fontId="65" fillId="0" borderId="5" xfId="23" applyNumberFormat="1" applyFont="1" applyBorder="1"/>
    <xf numFmtId="184" fontId="63" fillId="0" borderId="23" xfId="23" applyNumberFormat="1" applyFont="1" applyBorder="1"/>
    <xf numFmtId="184" fontId="0" fillId="0" borderId="3" xfId="0" applyNumberFormat="1" applyBorder="1"/>
    <xf numFmtId="0" fontId="15" fillId="0" borderId="0" xfId="7" applyFont="1" applyBorder="1" applyProtection="1"/>
    <xf numFmtId="16" fontId="0" fillId="0" borderId="0" xfId="0" applyNumberFormat="1" applyAlignment="1">
      <alignment horizontal="center"/>
    </xf>
    <xf numFmtId="3" fontId="0" fillId="0" borderId="0" xfId="0" applyNumberFormat="1"/>
    <xf numFmtId="3" fontId="0" fillId="0" borderId="3" xfId="0" applyNumberFormat="1" applyBorder="1"/>
    <xf numFmtId="4" fontId="0" fillId="38" borderId="0" xfId="1" applyNumberFormat="1" applyFont="1" applyFill="1" applyBorder="1" applyProtection="1"/>
    <xf numFmtId="4" fontId="0" fillId="38" borderId="0" xfId="0" applyNumberFormat="1" applyFill="1"/>
    <xf numFmtId="4" fontId="0" fillId="39" borderId="0" xfId="1" applyNumberFormat="1" applyFont="1" applyFill="1" applyBorder="1" applyProtection="1"/>
    <xf numFmtId="4" fontId="0" fillId="40" borderId="0" xfId="0" applyNumberFormat="1" applyFill="1"/>
    <xf numFmtId="3" fontId="12" fillId="32" borderId="0" xfId="21" applyNumberFormat="1" applyFill="1"/>
    <xf numFmtId="38" fontId="22" fillId="0" borderId="3" xfId="0" applyNumberFormat="1" applyFont="1" applyBorder="1" applyAlignment="1">
      <alignment horizontal="right"/>
    </xf>
    <xf numFmtId="38" fontId="22" fillId="20" borderId="3" xfId="0" applyNumberFormat="1" applyFont="1" applyFill="1" applyBorder="1" applyAlignment="1">
      <alignment horizontal="right"/>
    </xf>
    <xf numFmtId="38" fontId="22" fillId="10" borderId="3" xfId="0" applyNumberFormat="1" applyFont="1" applyFill="1" applyBorder="1" applyAlignment="1">
      <alignment horizontal="right"/>
    </xf>
    <xf numFmtId="38" fontId="22" fillId="14" borderId="3" xfId="0" applyNumberFormat="1" applyFont="1" applyFill="1" applyBorder="1" applyAlignment="1">
      <alignment horizontal="right"/>
    </xf>
    <xf numFmtId="0" fontId="52" fillId="0" borderId="0" xfId="21" applyFont="1"/>
    <xf numFmtId="0" fontId="55" fillId="36" borderId="0" xfId="21" applyFont="1" applyFill="1"/>
    <xf numFmtId="168" fontId="22" fillId="0" borderId="0" xfId="0" applyNumberFormat="1" applyFont="1" applyAlignment="1">
      <alignment horizontal="right" vertical="center"/>
    </xf>
    <xf numFmtId="168" fontId="22" fillId="0" borderId="2" xfId="0" applyNumberFormat="1" applyFont="1" applyBorder="1" applyAlignment="1">
      <alignment horizontal="right" vertical="center"/>
    </xf>
    <xf numFmtId="37" fontId="22" fillId="0" borderId="4" xfId="0" applyNumberFormat="1" applyFont="1" applyBorder="1" applyAlignment="1">
      <alignment horizontal="right" vertical="center"/>
    </xf>
    <xf numFmtId="168" fontId="22" fillId="0" borderId="4" xfId="0" applyNumberFormat="1" applyFont="1" applyBorder="1" applyAlignment="1">
      <alignment horizontal="right" vertical="center"/>
    </xf>
    <xf numFmtId="168" fontId="22" fillId="0" borderId="3" xfId="0" applyNumberFormat="1" applyFont="1" applyBorder="1" applyAlignment="1">
      <alignment horizontal="right" vertical="center"/>
    </xf>
    <xf numFmtId="37" fontId="22" fillId="0" borderId="3" xfId="0" applyNumberFormat="1" applyFont="1" applyBorder="1" applyAlignment="1">
      <alignment horizontal="right" vertical="center"/>
    </xf>
    <xf numFmtId="37" fontId="22" fillId="0" borderId="5" xfId="0" applyNumberFormat="1" applyFont="1" applyBorder="1" applyAlignment="1">
      <alignment horizontal="right" vertical="center"/>
    </xf>
    <xf numFmtId="37" fontId="22" fillId="0" borderId="7" xfId="0" applyNumberFormat="1" applyFont="1" applyBorder="1" applyAlignment="1">
      <alignment horizontal="right" vertical="center"/>
    </xf>
    <xf numFmtId="168" fontId="22" fillId="0" borderId="8" xfId="0" applyNumberFormat="1" applyFont="1" applyBorder="1" applyAlignment="1">
      <alignment horizontal="right" vertical="center"/>
    </xf>
    <xf numFmtId="39" fontId="22" fillId="0" borderId="8" xfId="0" applyNumberFormat="1" applyFont="1" applyBorder="1" applyAlignment="1">
      <alignment vertical="center"/>
    </xf>
    <xf numFmtId="168" fontId="24" fillId="0" borderId="3" xfId="0" applyNumberFormat="1" applyFont="1" applyBorder="1" applyAlignment="1">
      <alignment horizontal="right" vertical="center"/>
    </xf>
    <xf numFmtId="37" fontId="24" fillId="0" borderId="3" xfId="0" applyNumberFormat="1" applyFont="1" applyBorder="1" applyAlignment="1">
      <alignment horizontal="right" vertical="center"/>
    </xf>
    <xf numFmtId="168" fontId="24" fillId="0" borderId="0" xfId="0" applyNumberFormat="1" applyFont="1" applyAlignment="1">
      <alignment horizontal="right" vertical="center"/>
    </xf>
    <xf numFmtId="37" fontId="24" fillId="0" borderId="0" xfId="0" applyNumberFormat="1" applyFont="1" applyAlignment="1">
      <alignment horizontal="right" vertical="center"/>
    </xf>
    <xf numFmtId="168" fontId="22" fillId="0" borderId="5" xfId="0" applyNumberFormat="1" applyFont="1" applyBorder="1" applyAlignment="1">
      <alignment horizontal="right" vertical="center"/>
    </xf>
    <xf numFmtId="168" fontId="22" fillId="0" borderId="9" xfId="0" applyNumberFormat="1" applyFont="1" applyBorder="1" applyAlignment="1">
      <alignment horizontal="right" vertical="center"/>
    </xf>
    <xf numFmtId="37" fontId="22" fillId="0" borderId="9" xfId="0" applyNumberFormat="1" applyFont="1" applyBorder="1" applyAlignment="1">
      <alignment vertical="center"/>
    </xf>
    <xf numFmtId="37" fontId="22" fillId="0" borderId="7" xfId="0" applyNumberFormat="1" applyFont="1" applyBorder="1" applyAlignment="1">
      <alignment vertical="center"/>
    </xf>
    <xf numFmtId="37" fontId="22" fillId="0" borderId="4" xfId="0" applyNumberFormat="1" applyFont="1" applyBorder="1" applyAlignment="1">
      <alignment vertical="center"/>
    </xf>
    <xf numFmtId="37" fontId="22" fillId="0" borderId="3" xfId="0" applyNumberFormat="1" applyFont="1" applyBorder="1" applyAlignment="1">
      <alignment vertical="center"/>
    </xf>
    <xf numFmtId="172" fontId="22" fillId="0" borderId="5" xfId="0" applyNumberFormat="1" applyFont="1" applyBorder="1" applyAlignment="1">
      <alignment horizontal="right" vertical="center"/>
    </xf>
    <xf numFmtId="165" fontId="22" fillId="0" borderId="0" xfId="0" applyNumberFormat="1" applyFont="1" applyAlignment="1">
      <alignment vertical="center"/>
    </xf>
    <xf numFmtId="165" fontId="22" fillId="0" borderId="10" xfId="0" applyNumberFormat="1" applyFont="1" applyBorder="1" applyAlignment="1">
      <alignment vertical="center"/>
    </xf>
    <xf numFmtId="1" fontId="23" fillId="41" borderId="0" xfId="0" applyNumberFormat="1" applyFont="1" applyFill="1" applyAlignment="1">
      <alignment horizontal="center" vertical="center"/>
    </xf>
    <xf numFmtId="1" fontId="23" fillId="41" borderId="0" xfId="0" applyNumberFormat="1" applyFont="1" applyFill="1" applyAlignment="1">
      <alignment vertical="center" wrapText="1"/>
    </xf>
    <xf numFmtId="1" fontId="23" fillId="41" borderId="0" xfId="0" applyNumberFormat="1" applyFont="1" applyFill="1" applyAlignment="1">
      <alignment vertical="center"/>
    </xf>
    <xf numFmtId="1" fontId="23" fillId="42" borderId="0" xfId="0" applyNumberFormat="1" applyFont="1" applyFill="1" applyAlignment="1">
      <alignment horizontal="right" vertical="center"/>
    </xf>
    <xf numFmtId="1" fontId="23" fillId="43" borderId="0" xfId="0" applyNumberFormat="1" applyFont="1" applyFill="1" applyAlignment="1">
      <alignment horizontal="right" vertical="center"/>
    </xf>
    <xf numFmtId="168" fontId="22" fillId="41" borderId="0" xfId="0" applyNumberFormat="1" applyFont="1" applyFill="1" applyAlignment="1">
      <alignment horizontal="right" vertical="center"/>
    </xf>
    <xf numFmtId="1" fontId="23" fillId="44" borderId="0" xfId="0" applyNumberFormat="1" applyFont="1" applyFill="1" applyAlignment="1">
      <alignment horizontal="right" vertical="center"/>
    </xf>
    <xf numFmtId="1" fontId="23" fillId="45" borderId="0" xfId="0" applyNumberFormat="1" applyFont="1" applyFill="1" applyAlignment="1">
      <alignment horizontal="center" vertical="center"/>
    </xf>
    <xf numFmtId="1" fontId="23" fillId="46" borderId="0" xfId="0" applyNumberFormat="1" applyFont="1" applyFill="1" applyAlignment="1">
      <alignment horizontal="right" vertical="center"/>
    </xf>
    <xf numFmtId="0" fontId="22" fillId="41" borderId="0" xfId="0" applyFont="1" applyFill="1" applyAlignment="1">
      <alignment horizontal="center" vertical="center"/>
    </xf>
    <xf numFmtId="169" fontId="22" fillId="41" borderId="0" xfId="0" applyNumberFormat="1" applyFont="1" applyFill="1" applyAlignment="1">
      <alignment horizontal="left" vertical="center" wrapText="1"/>
    </xf>
    <xf numFmtId="0" fontId="22" fillId="41" borderId="0" xfId="0" applyFont="1" applyFill="1" applyAlignment="1">
      <alignment vertical="center"/>
    </xf>
    <xf numFmtId="37" fontId="22" fillId="41" borderId="0" xfId="0" applyNumberFormat="1" applyFont="1" applyFill="1" applyAlignment="1">
      <alignment horizontal="right" vertical="center"/>
    </xf>
    <xf numFmtId="37" fontId="23" fillId="42" borderId="0" xfId="0" applyNumberFormat="1" applyFont="1" applyFill="1" applyAlignment="1">
      <alignment horizontal="right" vertical="center"/>
    </xf>
    <xf numFmtId="37" fontId="22" fillId="41" borderId="0" xfId="0" applyNumberFormat="1" applyFont="1" applyFill="1" applyAlignment="1">
      <alignment horizontal="center" vertical="center"/>
    </xf>
    <xf numFmtId="37" fontId="23" fillId="43" borderId="0" xfId="0" applyNumberFormat="1" applyFont="1" applyFill="1" applyAlignment="1">
      <alignment horizontal="right" vertical="center"/>
    </xf>
    <xf numFmtId="168" fontId="22" fillId="47" borderId="2" xfId="0" applyNumberFormat="1" applyFont="1" applyFill="1" applyBorder="1" applyAlignment="1">
      <alignment horizontal="right" vertical="center"/>
    </xf>
    <xf numFmtId="37" fontId="22" fillId="41" borderId="3" xfId="0" applyNumberFormat="1" applyFont="1" applyFill="1" applyBorder="1" applyAlignment="1">
      <alignment horizontal="center" vertical="center"/>
    </xf>
    <xf numFmtId="37" fontId="23" fillId="44" borderId="3" xfId="0" applyNumberFormat="1" applyFont="1" applyFill="1" applyBorder="1" applyAlignment="1">
      <alignment horizontal="right" vertical="center"/>
    </xf>
    <xf numFmtId="37" fontId="23" fillId="45" borderId="3" xfId="0" applyNumberFormat="1" applyFont="1" applyFill="1" applyBorder="1" applyAlignment="1">
      <alignment horizontal="right" vertical="center"/>
    </xf>
    <xf numFmtId="37" fontId="22" fillId="41" borderId="4" xfId="0" applyNumberFormat="1" applyFont="1" applyFill="1" applyBorder="1" applyAlignment="1">
      <alignment horizontal="center" vertical="center"/>
    </xf>
    <xf numFmtId="37" fontId="23" fillId="42" borderId="4" xfId="0" applyNumberFormat="1" applyFont="1" applyFill="1" applyBorder="1" applyAlignment="1">
      <alignment horizontal="right" vertical="center"/>
    </xf>
    <xf numFmtId="37" fontId="22" fillId="41" borderId="4" xfId="0" applyNumberFormat="1" applyFont="1" applyFill="1" applyBorder="1" applyAlignment="1">
      <alignment horizontal="right" vertical="center"/>
    </xf>
    <xf numFmtId="37" fontId="23" fillId="46" borderId="4" xfId="0" applyNumberFormat="1" applyFont="1" applyFill="1" applyBorder="1" applyAlignment="1">
      <alignment horizontal="right" vertical="center"/>
    </xf>
    <xf numFmtId="37" fontId="23" fillId="41" borderId="4" xfId="0" applyNumberFormat="1" applyFont="1" applyFill="1" applyBorder="1" applyAlignment="1">
      <alignment horizontal="right" vertical="center"/>
    </xf>
    <xf numFmtId="0" fontId="22" fillId="41" borderId="5" xfId="0" applyFont="1" applyFill="1" applyBorder="1" applyAlignment="1">
      <alignment vertical="center" wrapText="1"/>
    </xf>
    <xf numFmtId="0" fontId="22" fillId="41" borderId="5" xfId="0" applyFont="1" applyFill="1" applyBorder="1" applyAlignment="1">
      <alignment vertical="center"/>
    </xf>
    <xf numFmtId="0" fontId="22" fillId="41" borderId="5" xfId="0" applyFont="1" applyFill="1" applyBorder="1" applyAlignment="1">
      <alignment horizontal="center" vertical="center"/>
    </xf>
    <xf numFmtId="37" fontId="22" fillId="41" borderId="5" xfId="0" applyNumberFormat="1" applyFont="1" applyFill="1" applyBorder="1" applyAlignment="1">
      <alignment horizontal="right" vertical="center"/>
    </xf>
    <xf numFmtId="37" fontId="23" fillId="41" borderId="5" xfId="0" applyNumberFormat="1" applyFont="1" applyFill="1" applyBorder="1" applyAlignment="1">
      <alignment horizontal="right" vertical="center"/>
    </xf>
    <xf numFmtId="37" fontId="22" fillId="41" borderId="0" xfId="0" applyNumberFormat="1" applyFont="1" applyFill="1" applyAlignment="1">
      <alignment vertical="center"/>
    </xf>
    <xf numFmtId="37" fontId="22" fillId="41" borderId="2" xfId="0" applyNumberFormat="1" applyFont="1" applyFill="1" applyBorder="1" applyAlignment="1">
      <alignment vertical="center"/>
    </xf>
    <xf numFmtId="37" fontId="23" fillId="44" borderId="0" xfId="0" applyNumberFormat="1" applyFont="1" applyFill="1" applyAlignment="1">
      <alignment horizontal="right" vertical="center"/>
    </xf>
    <xf numFmtId="37" fontId="23" fillId="45" borderId="0" xfId="0" applyNumberFormat="1" applyFont="1" applyFill="1" applyAlignment="1">
      <alignment vertical="center"/>
    </xf>
    <xf numFmtId="37" fontId="23" fillId="46" borderId="0" xfId="0" applyNumberFormat="1" applyFont="1" applyFill="1" applyAlignment="1">
      <alignment horizontal="right" vertical="center"/>
    </xf>
    <xf numFmtId="37" fontId="23" fillId="41" borderId="0" xfId="0" applyNumberFormat="1" applyFont="1" applyFill="1" applyAlignment="1">
      <alignment horizontal="right" vertical="center"/>
    </xf>
    <xf numFmtId="0" fontId="22" fillId="41" borderId="4" xfId="0" applyFont="1" applyFill="1" applyBorder="1" applyAlignment="1">
      <alignment vertical="center" wrapText="1"/>
    </xf>
    <xf numFmtId="0" fontId="22" fillId="41" borderId="4" xfId="0" applyFont="1" applyFill="1" applyBorder="1" applyAlignment="1">
      <alignment vertical="center"/>
    </xf>
    <xf numFmtId="0" fontId="22" fillId="41" borderId="4" xfId="0" applyFont="1" applyFill="1" applyBorder="1" applyAlignment="1">
      <alignment horizontal="center" vertical="center"/>
    </xf>
    <xf numFmtId="168" fontId="22" fillId="41" borderId="4" xfId="0" applyNumberFormat="1" applyFont="1" applyFill="1" applyBorder="1" applyAlignment="1">
      <alignment horizontal="right" vertical="center"/>
    </xf>
    <xf numFmtId="37" fontId="22" fillId="41" borderId="4" xfId="0" applyNumberFormat="1" applyFont="1" applyFill="1" applyBorder="1" applyAlignment="1">
      <alignment vertical="center"/>
    </xf>
    <xf numFmtId="37" fontId="23" fillId="44" borderId="4" xfId="0" applyNumberFormat="1" applyFont="1" applyFill="1" applyBorder="1" applyAlignment="1">
      <alignment horizontal="right" vertical="center"/>
    </xf>
    <xf numFmtId="37" fontId="22" fillId="47" borderId="2" xfId="0" applyNumberFormat="1" applyFont="1" applyFill="1" applyBorder="1" applyAlignment="1">
      <alignment vertical="center"/>
    </xf>
    <xf numFmtId="37" fontId="23" fillId="45" borderId="4" xfId="0" applyNumberFormat="1" applyFont="1" applyFill="1" applyBorder="1" applyAlignment="1">
      <alignment vertical="center"/>
    </xf>
    <xf numFmtId="37" fontId="22" fillId="47" borderId="2" xfId="0" applyNumberFormat="1" applyFont="1" applyFill="1" applyBorder="1" applyAlignment="1">
      <alignment horizontal="right" vertical="center"/>
    </xf>
    <xf numFmtId="0" fontId="22" fillId="41" borderId="0" xfId="0" applyFont="1" applyFill="1" applyAlignment="1">
      <alignment vertical="center" wrapText="1"/>
    </xf>
    <xf numFmtId="37" fontId="23" fillId="41" borderId="0" xfId="0" applyNumberFormat="1" applyFont="1" applyFill="1" applyAlignment="1">
      <alignment vertical="center"/>
    </xf>
    <xf numFmtId="165" fontId="22" fillId="41" borderId="2" xfId="0" applyNumberFormat="1" applyFont="1" applyFill="1" applyBorder="1" applyAlignment="1">
      <alignment horizontal="center" vertical="center"/>
    </xf>
    <xf numFmtId="37" fontId="23" fillId="41" borderId="4" xfId="0" applyNumberFormat="1" applyFont="1" applyFill="1" applyBorder="1" applyAlignment="1">
      <alignment vertical="center"/>
    </xf>
    <xf numFmtId="0" fontId="22" fillId="41" borderId="3" xfId="0" applyFont="1" applyFill="1" applyBorder="1" applyAlignment="1">
      <alignment vertical="center" wrapText="1"/>
    </xf>
    <xf numFmtId="0" fontId="22" fillId="41" borderId="3" xfId="0" applyFont="1" applyFill="1" applyBorder="1" applyAlignment="1">
      <alignment vertical="center"/>
    </xf>
    <xf numFmtId="165" fontId="24" fillId="47" borderId="6" xfId="0" applyNumberFormat="1" applyFont="1" applyFill="1" applyBorder="1" applyAlignment="1">
      <alignment horizontal="center" vertical="center"/>
    </xf>
    <xf numFmtId="37" fontId="22" fillId="41" borderId="3" xfId="0" applyNumberFormat="1" applyFont="1" applyFill="1" applyBorder="1" applyAlignment="1">
      <alignment horizontal="right" vertical="center"/>
    </xf>
    <xf numFmtId="37" fontId="23" fillId="41" borderId="3" xfId="0" applyNumberFormat="1" applyFont="1" applyFill="1" applyBorder="1" applyAlignment="1">
      <alignment horizontal="right" vertical="center"/>
    </xf>
    <xf numFmtId="168" fontId="22" fillId="41" borderId="3" xfId="0" applyNumberFormat="1" applyFont="1" applyFill="1" applyBorder="1" applyAlignment="1">
      <alignment horizontal="right" vertical="center"/>
    </xf>
    <xf numFmtId="37" fontId="22" fillId="41" borderId="3" xfId="0" applyNumberFormat="1" applyFont="1" applyFill="1" applyBorder="1" applyAlignment="1">
      <alignment vertical="center"/>
    </xf>
    <xf numFmtId="37" fontId="23" fillId="41" borderId="3" xfId="0" applyNumberFormat="1" applyFont="1" applyFill="1" applyBorder="1" applyAlignment="1">
      <alignment vertical="center"/>
    </xf>
    <xf numFmtId="37" fontId="23" fillId="45" borderId="0" xfId="0" applyNumberFormat="1" applyFont="1" applyFill="1" applyAlignment="1">
      <alignment horizontal="right" vertical="center"/>
    </xf>
    <xf numFmtId="170" fontId="22" fillId="48" borderId="2" xfId="0" applyNumberFormat="1" applyFont="1" applyFill="1" applyBorder="1" applyAlignment="1">
      <alignment horizontal="center" vertical="center"/>
    </xf>
    <xf numFmtId="37" fontId="23" fillId="42" borderId="5" xfId="0" applyNumberFormat="1" applyFont="1" applyFill="1" applyBorder="1" applyAlignment="1">
      <alignment horizontal="right" vertical="center"/>
    </xf>
    <xf numFmtId="37" fontId="23" fillId="43" borderId="5" xfId="0" applyNumberFormat="1" applyFont="1" applyFill="1" applyBorder="1" applyAlignment="1">
      <alignment horizontal="right" vertical="center"/>
    </xf>
    <xf numFmtId="37" fontId="22" fillId="41" borderId="5" xfId="0" applyNumberFormat="1" applyFont="1" applyFill="1" applyBorder="1" applyAlignment="1">
      <alignment vertical="center"/>
    </xf>
    <xf numFmtId="37" fontId="23" fillId="44" borderId="5" xfId="0" applyNumberFormat="1" applyFont="1" applyFill="1" applyBorder="1" applyAlignment="1">
      <alignment horizontal="right" vertical="center"/>
    </xf>
    <xf numFmtId="37" fontId="23" fillId="45" borderId="5" xfId="0" applyNumberFormat="1" applyFont="1" applyFill="1" applyBorder="1" applyAlignment="1">
      <alignment horizontal="right" vertical="center"/>
    </xf>
    <xf numFmtId="37" fontId="23" fillId="46" borderId="5" xfId="0" applyNumberFormat="1" applyFont="1" applyFill="1" applyBorder="1" applyAlignment="1">
      <alignment horizontal="right" vertical="center"/>
    </xf>
    <xf numFmtId="170" fontId="22" fillId="47" borderId="2" xfId="0" applyNumberFormat="1" applyFont="1" applyFill="1" applyBorder="1" applyAlignment="1">
      <alignment horizontal="center" vertical="center"/>
    </xf>
    <xf numFmtId="37" fontId="22" fillId="41" borderId="7" xfId="0" applyNumberFormat="1" applyFont="1" applyFill="1" applyBorder="1" applyAlignment="1">
      <alignment horizontal="right" vertical="center"/>
    </xf>
    <xf numFmtId="37" fontId="22" fillId="41" borderId="7" xfId="0" applyNumberFormat="1" applyFont="1" applyFill="1" applyBorder="1" applyAlignment="1">
      <alignment vertical="center"/>
    </xf>
    <xf numFmtId="0" fontId="22" fillId="41" borderId="8" xfId="0" applyFont="1" applyFill="1" applyBorder="1" applyAlignment="1">
      <alignment vertical="center" wrapText="1"/>
    </xf>
    <xf numFmtId="0" fontId="22" fillId="41" borderId="8" xfId="0" applyFont="1" applyFill="1" applyBorder="1" applyAlignment="1">
      <alignment vertical="center"/>
    </xf>
    <xf numFmtId="0" fontId="22" fillId="41" borderId="8" xfId="0" applyFont="1" applyFill="1" applyBorder="1" applyAlignment="1">
      <alignment horizontal="center" vertical="center"/>
    </xf>
    <xf numFmtId="37" fontId="22" fillId="41" borderId="8" xfId="0" applyNumberFormat="1" applyFont="1" applyFill="1" applyBorder="1" applyAlignment="1">
      <alignment horizontal="right" vertical="center"/>
    </xf>
    <xf numFmtId="37" fontId="23" fillId="42" borderId="8" xfId="0" applyNumberFormat="1" applyFont="1" applyFill="1" applyBorder="1" applyAlignment="1">
      <alignment horizontal="right" vertical="center"/>
    </xf>
    <xf numFmtId="37" fontId="23" fillId="43" borderId="8" xfId="0" applyNumberFormat="1" applyFont="1" applyFill="1" applyBorder="1" applyAlignment="1">
      <alignment horizontal="right" vertical="center"/>
    </xf>
    <xf numFmtId="168" fontId="22" fillId="41" borderId="8" xfId="0" applyNumberFormat="1" applyFont="1" applyFill="1" applyBorder="1" applyAlignment="1">
      <alignment horizontal="right" vertical="center"/>
    </xf>
    <xf numFmtId="39" fontId="22" fillId="41" borderId="8" xfId="0" applyNumberFormat="1" applyFont="1" applyFill="1" applyBorder="1" applyAlignment="1">
      <alignment vertical="center"/>
    </xf>
    <xf numFmtId="37" fontId="23" fillId="44" borderId="8" xfId="0" applyNumberFormat="1" applyFont="1" applyFill="1" applyBorder="1" applyAlignment="1">
      <alignment horizontal="right" vertical="center"/>
    </xf>
    <xf numFmtId="37" fontId="23" fillId="45" borderId="8" xfId="0" applyNumberFormat="1" applyFont="1" applyFill="1" applyBorder="1" applyAlignment="1">
      <alignment horizontal="right" vertical="center"/>
    </xf>
    <xf numFmtId="37" fontId="23" fillId="46" borderId="8" xfId="0" applyNumberFormat="1" applyFont="1" applyFill="1" applyBorder="1" applyAlignment="1">
      <alignment horizontal="right" vertical="center"/>
    </xf>
    <xf numFmtId="0" fontId="22" fillId="49" borderId="0" xfId="0" applyFont="1" applyFill="1" applyAlignment="1">
      <alignment vertical="center" wrapText="1"/>
    </xf>
    <xf numFmtId="0" fontId="22" fillId="49" borderId="0" xfId="0" applyFont="1" applyFill="1" applyAlignment="1">
      <alignment vertical="center"/>
    </xf>
    <xf numFmtId="0" fontId="22" fillId="49" borderId="0" xfId="0" applyFont="1" applyFill="1" applyAlignment="1">
      <alignment horizontal="center" vertical="center"/>
    </xf>
    <xf numFmtId="37" fontId="22" fillId="49" borderId="0" xfId="0" applyNumberFormat="1" applyFont="1" applyFill="1" applyAlignment="1">
      <alignment horizontal="right" vertical="center"/>
    </xf>
    <xf numFmtId="37" fontId="22" fillId="49" borderId="0" xfId="0" applyNumberFormat="1" applyFont="1" applyFill="1" applyAlignment="1">
      <alignment vertical="center"/>
    </xf>
    <xf numFmtId="0" fontId="25" fillId="41" borderId="0" xfId="0" applyFont="1" applyFill="1" applyAlignment="1">
      <alignment horizontal="center" vertical="center"/>
    </xf>
    <xf numFmtId="0" fontId="24" fillId="49" borderId="3" xfId="0" applyFont="1" applyFill="1" applyBorder="1" applyAlignment="1">
      <alignment vertical="center" wrapText="1"/>
    </xf>
    <xf numFmtId="0" fontId="24" fillId="49" borderId="3" xfId="0" applyFont="1" applyFill="1" applyBorder="1" applyAlignment="1">
      <alignment vertical="center"/>
    </xf>
    <xf numFmtId="171" fontId="24" fillId="47" borderId="2" xfId="0" applyNumberFormat="1" applyFont="1" applyFill="1" applyBorder="1" applyAlignment="1">
      <alignment horizontal="center" vertical="center"/>
    </xf>
    <xf numFmtId="37" fontId="24" fillId="49" borderId="3" xfId="0" applyNumberFormat="1" applyFont="1" applyFill="1" applyBorder="1" applyAlignment="1">
      <alignment horizontal="right" vertical="center"/>
    </xf>
    <xf numFmtId="37" fontId="26" fillId="42" borderId="3" xfId="0" applyNumberFormat="1" applyFont="1" applyFill="1" applyBorder="1" applyAlignment="1">
      <alignment horizontal="right" vertical="center"/>
    </xf>
    <xf numFmtId="37" fontId="26" fillId="43" borderId="3" xfId="0" applyNumberFormat="1" applyFont="1" applyFill="1" applyBorder="1" applyAlignment="1">
      <alignment horizontal="right" vertical="center"/>
    </xf>
    <xf numFmtId="168" fontId="24" fillId="41" borderId="3" xfId="0" applyNumberFormat="1" applyFont="1" applyFill="1" applyBorder="1" applyAlignment="1">
      <alignment horizontal="right" vertical="center"/>
    </xf>
    <xf numFmtId="37" fontId="24" fillId="49" borderId="3" xfId="0" applyNumberFormat="1" applyFont="1" applyFill="1" applyBorder="1" applyAlignment="1">
      <alignment vertical="center"/>
    </xf>
    <xf numFmtId="37" fontId="26" fillId="44" borderId="3" xfId="0" applyNumberFormat="1" applyFont="1" applyFill="1" applyBorder="1" applyAlignment="1">
      <alignment horizontal="right" vertical="center"/>
    </xf>
    <xf numFmtId="37" fontId="26" fillId="45" borderId="3" xfId="0" applyNumberFormat="1" applyFont="1" applyFill="1" applyBorder="1" applyAlignment="1">
      <alignment horizontal="right" vertical="center"/>
    </xf>
    <xf numFmtId="37" fontId="26" fillId="46" borderId="3" xfId="0" applyNumberFormat="1" applyFont="1" applyFill="1" applyBorder="1" applyAlignment="1">
      <alignment horizontal="right" vertical="center"/>
    </xf>
    <xf numFmtId="0" fontId="25" fillId="41" borderId="0" xfId="0" applyFont="1" applyFill="1" applyAlignment="1">
      <alignment vertical="center"/>
    </xf>
    <xf numFmtId="0" fontId="24" fillId="41" borderId="0" xfId="0" applyFont="1" applyFill="1" applyAlignment="1">
      <alignment vertical="center"/>
    </xf>
    <xf numFmtId="171" fontId="24" fillId="41" borderId="0" xfId="0" applyNumberFormat="1" applyFont="1" applyFill="1" applyAlignment="1">
      <alignment horizontal="center" vertical="center"/>
    </xf>
    <xf numFmtId="37" fontId="24" fillId="41" borderId="0" xfId="0" applyNumberFormat="1" applyFont="1" applyFill="1" applyAlignment="1">
      <alignment horizontal="right" vertical="center"/>
    </xf>
    <xf numFmtId="37" fontId="26" fillId="42" borderId="0" xfId="0" applyNumberFormat="1" applyFont="1" applyFill="1" applyAlignment="1">
      <alignment horizontal="right" vertical="center"/>
    </xf>
    <xf numFmtId="37" fontId="26" fillId="43" borderId="0" xfId="0" applyNumberFormat="1" applyFont="1" applyFill="1" applyAlignment="1">
      <alignment horizontal="right" vertical="center"/>
    </xf>
    <xf numFmtId="168" fontId="24" fillId="41" borderId="0" xfId="0" applyNumberFormat="1" applyFont="1" applyFill="1" applyAlignment="1">
      <alignment horizontal="right" vertical="center"/>
    </xf>
    <xf numFmtId="37" fontId="24" fillId="41" borderId="0" xfId="0" applyNumberFormat="1" applyFont="1" applyFill="1" applyAlignment="1">
      <alignment vertical="center"/>
    </xf>
    <xf numFmtId="37" fontId="26" fillId="44" borderId="0" xfId="0" applyNumberFormat="1" applyFont="1" applyFill="1" applyAlignment="1">
      <alignment horizontal="right" vertical="center"/>
    </xf>
    <xf numFmtId="37" fontId="26" fillId="45" borderId="0" xfId="0" applyNumberFormat="1" applyFont="1" applyFill="1" applyAlignment="1">
      <alignment horizontal="right" vertical="center"/>
    </xf>
    <xf numFmtId="37" fontId="26" fillId="46" borderId="0" xfId="0" applyNumberFormat="1" applyFont="1" applyFill="1" applyAlignment="1">
      <alignment horizontal="right" vertical="center"/>
    </xf>
    <xf numFmtId="165" fontId="22" fillId="47" borderId="2" xfId="0" applyNumberFormat="1" applyFont="1" applyFill="1" applyBorder="1" applyAlignment="1">
      <alignment horizontal="center" vertical="center"/>
    </xf>
    <xf numFmtId="168" fontId="22" fillId="41" borderId="5" xfId="0" applyNumberFormat="1" applyFont="1" applyFill="1" applyBorder="1" applyAlignment="1">
      <alignment horizontal="right" vertical="center"/>
    </xf>
    <xf numFmtId="37" fontId="27" fillId="41" borderId="5" xfId="0" applyNumberFormat="1" applyFont="1" applyFill="1" applyBorder="1" applyAlignment="1">
      <alignment vertical="center"/>
    </xf>
    <xf numFmtId="0" fontId="22" fillId="41" borderId="9" xfId="0" applyFont="1" applyFill="1" applyBorder="1" applyAlignment="1">
      <alignment vertical="center" wrapText="1"/>
    </xf>
    <xf numFmtId="0" fontId="22" fillId="41" borderId="9" xfId="0" applyFont="1" applyFill="1" applyBorder="1" applyAlignment="1">
      <alignment vertical="center"/>
    </xf>
    <xf numFmtId="37" fontId="22" fillId="41" borderId="9" xfId="0" applyNumberFormat="1" applyFont="1" applyFill="1" applyBorder="1" applyAlignment="1">
      <alignment horizontal="right" vertical="center"/>
    </xf>
    <xf numFmtId="37" fontId="23" fillId="42" borderId="9" xfId="0" applyNumberFormat="1" applyFont="1" applyFill="1" applyBorder="1" applyAlignment="1">
      <alignment horizontal="right" vertical="center"/>
    </xf>
    <xf numFmtId="37" fontId="23" fillId="43" borderId="9" xfId="0" applyNumberFormat="1" applyFont="1" applyFill="1" applyBorder="1" applyAlignment="1">
      <alignment horizontal="right" vertical="center"/>
    </xf>
    <xf numFmtId="168" fontId="22" fillId="41" borderId="9" xfId="0" applyNumberFormat="1" applyFont="1" applyFill="1" applyBorder="1" applyAlignment="1">
      <alignment horizontal="right" vertical="center"/>
    </xf>
    <xf numFmtId="37" fontId="22" fillId="41" borderId="9" xfId="0" applyNumberFormat="1" applyFont="1" applyFill="1" applyBorder="1" applyAlignment="1">
      <alignment vertical="center"/>
    </xf>
    <xf numFmtId="37" fontId="27" fillId="41" borderId="9" xfId="0" applyNumberFormat="1" applyFont="1" applyFill="1" applyBorder="1" applyAlignment="1">
      <alignment vertical="center"/>
    </xf>
    <xf numFmtId="37" fontId="23" fillId="44" borderId="9" xfId="0" applyNumberFormat="1" applyFont="1" applyFill="1" applyBorder="1" applyAlignment="1">
      <alignment horizontal="right" vertical="center"/>
    </xf>
    <xf numFmtId="37" fontId="23" fillId="45" borderId="9" xfId="0" applyNumberFormat="1" applyFont="1" applyFill="1" applyBorder="1" applyAlignment="1">
      <alignment horizontal="right" vertical="center"/>
    </xf>
    <xf numFmtId="37" fontId="23" fillId="46" borderId="9" xfId="0" applyNumberFormat="1" applyFont="1" applyFill="1" applyBorder="1" applyAlignment="1">
      <alignment horizontal="right" vertical="center"/>
    </xf>
    <xf numFmtId="168" fontId="22" fillId="47" borderId="6" xfId="0" applyNumberFormat="1" applyFont="1" applyFill="1" applyBorder="1" applyAlignment="1">
      <alignment horizontal="center" vertical="center"/>
    </xf>
    <xf numFmtId="37" fontId="23" fillId="42" borderId="7" xfId="0" applyNumberFormat="1" applyFont="1" applyFill="1" applyBorder="1" applyAlignment="1">
      <alignment horizontal="right" vertical="center"/>
    </xf>
    <xf numFmtId="37" fontId="23" fillId="43" borderId="4" xfId="0" applyNumberFormat="1" applyFont="1" applyFill="1" applyBorder="1" applyAlignment="1">
      <alignment horizontal="right" vertical="center"/>
    </xf>
    <xf numFmtId="37" fontId="23" fillId="45" borderId="4" xfId="0" applyNumberFormat="1" applyFont="1" applyFill="1" applyBorder="1" applyAlignment="1">
      <alignment horizontal="right" vertical="center"/>
    </xf>
    <xf numFmtId="4" fontId="22" fillId="41" borderId="4" xfId="0" applyNumberFormat="1" applyFont="1" applyFill="1" applyBorder="1" applyAlignment="1">
      <alignment horizontal="right" vertical="center"/>
    </xf>
    <xf numFmtId="0" fontId="24" fillId="50" borderId="3" xfId="0" applyFont="1" applyFill="1" applyBorder="1" applyAlignment="1">
      <alignment vertical="center" wrapText="1"/>
    </xf>
    <xf numFmtId="0" fontId="22" fillId="50" borderId="3" xfId="0" applyFont="1" applyFill="1" applyBorder="1" applyAlignment="1">
      <alignment horizontal="right" vertical="center"/>
    </xf>
    <xf numFmtId="3" fontId="22" fillId="47" borderId="2" xfId="0" applyNumberFormat="1" applyFont="1" applyFill="1" applyBorder="1" applyAlignment="1">
      <alignment horizontal="center" vertical="center"/>
    </xf>
    <xf numFmtId="37" fontId="22" fillId="50" borderId="3" xfId="0" applyNumberFormat="1" applyFont="1" applyFill="1" applyBorder="1" applyAlignment="1">
      <alignment horizontal="right" vertical="center"/>
    </xf>
    <xf numFmtId="37" fontId="23" fillId="42" borderId="3" xfId="0" applyNumberFormat="1" applyFont="1" applyFill="1" applyBorder="1" applyAlignment="1">
      <alignment horizontal="right" vertical="center"/>
    </xf>
    <xf numFmtId="37" fontId="23" fillId="43" borderId="3" xfId="0" applyNumberFormat="1" applyFont="1" applyFill="1" applyBorder="1" applyAlignment="1">
      <alignment horizontal="right" vertical="center"/>
    </xf>
    <xf numFmtId="37" fontId="22" fillId="50" borderId="3" xfId="0" applyNumberFormat="1" applyFont="1" applyFill="1" applyBorder="1" applyAlignment="1">
      <alignment vertical="center"/>
    </xf>
    <xf numFmtId="37" fontId="22" fillId="51" borderId="3" xfId="0" applyNumberFormat="1" applyFont="1" applyFill="1" applyBorder="1" applyAlignment="1">
      <alignment vertical="center"/>
    </xf>
    <xf numFmtId="37" fontId="23" fillId="46" borderId="3" xfId="0" applyNumberFormat="1" applyFont="1" applyFill="1" applyBorder="1" applyAlignment="1">
      <alignment horizontal="right" vertical="center"/>
    </xf>
    <xf numFmtId="0" fontId="24" fillId="41" borderId="5" xfId="0" applyFont="1" applyFill="1" applyBorder="1" applyAlignment="1">
      <alignment vertical="center" wrapText="1"/>
    </xf>
    <xf numFmtId="0" fontId="24" fillId="41" borderId="0" xfId="21" applyFont="1" applyFill="1" applyAlignment="1">
      <alignment vertical="center" wrapText="1"/>
    </xf>
    <xf numFmtId="167" fontId="22" fillId="47" borderId="2" xfId="0" applyNumberFormat="1" applyFont="1" applyFill="1" applyBorder="1" applyAlignment="1">
      <alignment horizontal="center" vertical="center"/>
    </xf>
    <xf numFmtId="37" fontId="22" fillId="47" borderId="0" xfId="0" applyNumberFormat="1" applyFont="1" applyFill="1" applyAlignment="1">
      <alignment horizontal="right" vertical="center"/>
    </xf>
    <xf numFmtId="37" fontId="22" fillId="51" borderId="0" xfId="0" applyNumberFormat="1" applyFont="1" applyFill="1" applyAlignment="1">
      <alignment vertical="center"/>
    </xf>
    <xf numFmtId="0" fontId="24" fillId="41" borderId="3" xfId="0" applyFont="1" applyFill="1" applyBorder="1" applyAlignment="1">
      <alignment vertical="center" wrapText="1"/>
    </xf>
    <xf numFmtId="172" fontId="22" fillId="41" borderId="5" xfId="0" applyNumberFormat="1" applyFont="1" applyFill="1" applyBorder="1" applyAlignment="1">
      <alignment horizontal="right" vertical="center"/>
    </xf>
    <xf numFmtId="172" fontId="23" fillId="42" borderId="5" xfId="0" applyNumberFormat="1" applyFont="1" applyFill="1" applyBorder="1" applyAlignment="1">
      <alignment horizontal="right" vertical="center"/>
    </xf>
    <xf numFmtId="172" fontId="23" fillId="43" borderId="5" xfId="0" applyNumberFormat="1" applyFont="1" applyFill="1" applyBorder="1" applyAlignment="1">
      <alignment horizontal="right" vertical="center"/>
    </xf>
    <xf numFmtId="172" fontId="22" fillId="51" borderId="5" xfId="0" applyNumberFormat="1" applyFont="1" applyFill="1" applyBorder="1" applyAlignment="1">
      <alignment vertical="center"/>
    </xf>
    <xf numFmtId="172" fontId="22" fillId="41" borderId="5" xfId="0" applyNumberFormat="1" applyFont="1" applyFill="1" applyBorder="1" applyAlignment="1">
      <alignment vertical="center"/>
    </xf>
    <xf numFmtId="172" fontId="23" fillId="44" borderId="5" xfId="0" applyNumberFormat="1" applyFont="1" applyFill="1" applyBorder="1" applyAlignment="1">
      <alignment horizontal="right" vertical="center"/>
    </xf>
    <xf numFmtId="172" fontId="23" fillId="45" borderId="5" xfId="0" applyNumberFormat="1" applyFont="1" applyFill="1" applyBorder="1" applyAlignment="1">
      <alignment horizontal="right" vertical="center"/>
    </xf>
    <xf numFmtId="172" fontId="23" fillId="46" borderId="5" xfId="0" applyNumberFormat="1" applyFont="1" applyFill="1" applyBorder="1" applyAlignment="1">
      <alignment horizontal="right" vertical="center"/>
    </xf>
    <xf numFmtId="37" fontId="22" fillId="44" borderId="0" xfId="0" applyNumberFormat="1" applyFont="1" applyFill="1" applyAlignment="1">
      <alignment horizontal="right" vertical="center"/>
    </xf>
    <xf numFmtId="37" fontId="22" fillId="51" borderId="0" xfId="0" applyNumberFormat="1" applyFont="1" applyFill="1" applyAlignment="1">
      <alignment horizontal="right" vertical="center"/>
    </xf>
    <xf numFmtId="0" fontId="22" fillId="49" borderId="3" xfId="0" applyFont="1" applyFill="1" applyBorder="1" applyAlignment="1">
      <alignment vertical="center" wrapText="1"/>
    </xf>
    <xf numFmtId="0" fontId="22" fillId="49" borderId="3" xfId="0" applyFont="1" applyFill="1" applyBorder="1" applyAlignment="1">
      <alignment vertical="center"/>
    </xf>
    <xf numFmtId="0" fontId="22" fillId="49" borderId="3" xfId="0" applyFont="1" applyFill="1" applyBorder="1" applyAlignment="1">
      <alignment horizontal="center" vertical="center"/>
    </xf>
    <xf numFmtId="37" fontId="22" fillId="49" borderId="3" xfId="0" applyNumberFormat="1" applyFont="1" applyFill="1" applyBorder="1" applyAlignment="1">
      <alignment horizontal="right" vertical="center"/>
    </xf>
    <xf numFmtId="37" fontId="22" fillId="49" borderId="3" xfId="0" applyNumberFormat="1" applyFont="1" applyFill="1" applyBorder="1" applyAlignment="1">
      <alignment vertical="center"/>
    </xf>
    <xf numFmtId="4" fontId="27" fillId="41" borderId="0" xfId="0" applyNumberFormat="1" applyFont="1" applyFill="1" applyAlignment="1">
      <alignment horizontal="right" vertical="center"/>
    </xf>
    <xf numFmtId="0" fontId="22" fillId="52" borderId="0" xfId="0" applyFont="1" applyFill="1"/>
    <xf numFmtId="0" fontId="22" fillId="52" borderId="0" xfId="0" applyFont="1" applyFill="1" applyAlignment="1">
      <alignment vertical="center"/>
    </xf>
    <xf numFmtId="0" fontId="22" fillId="52" borderId="0" xfId="0" applyFont="1" applyFill="1" applyAlignment="1">
      <alignment horizontal="center" vertical="center"/>
    </xf>
    <xf numFmtId="37" fontId="27" fillId="41" borderId="0" xfId="0" applyNumberFormat="1" applyFont="1" applyFill="1" applyAlignment="1">
      <alignment horizontal="right" vertical="center"/>
    </xf>
    <xf numFmtId="3" fontId="28" fillId="47" borderId="0" xfId="21" applyNumberFormat="1" applyFont="1" applyFill="1"/>
    <xf numFmtId="0" fontId="22" fillId="47" borderId="0" xfId="0" applyFont="1" applyFill="1" applyAlignment="1">
      <alignment vertical="center"/>
    </xf>
    <xf numFmtId="0" fontId="22" fillId="47" borderId="0" xfId="0" applyFont="1" applyFill="1" applyAlignment="1">
      <alignment horizontal="center" vertical="center"/>
    </xf>
    <xf numFmtId="37" fontId="29" fillId="41" borderId="0" xfId="0" applyNumberFormat="1" applyFont="1" applyFill="1" applyAlignment="1">
      <alignment horizontal="right" vertical="center"/>
    </xf>
    <xf numFmtId="0" fontId="22" fillId="53" borderId="0" xfId="0" applyFont="1" applyFill="1"/>
    <xf numFmtId="0" fontId="22" fillId="53" borderId="0" xfId="0" applyFont="1" applyFill="1" applyAlignment="1">
      <alignment vertical="center"/>
    </xf>
    <xf numFmtId="0" fontId="22" fillId="53" borderId="0" xfId="0" applyFont="1" applyFill="1" applyAlignment="1">
      <alignment horizontal="center" vertical="center"/>
    </xf>
    <xf numFmtId="173" fontId="22" fillId="41" borderId="0" xfId="0" applyNumberFormat="1" applyFont="1" applyFill="1" applyAlignment="1">
      <alignment vertical="center"/>
    </xf>
    <xf numFmtId="0" fontId="22" fillId="51" borderId="0" xfId="0" applyFont="1" applyFill="1" applyAlignment="1">
      <alignment vertical="center"/>
    </xf>
    <xf numFmtId="0" fontId="22" fillId="41" borderId="0" xfId="0" applyFont="1" applyFill="1" applyAlignment="1">
      <alignment horizontal="left" vertical="center"/>
    </xf>
    <xf numFmtId="165" fontId="22" fillId="41" borderId="0" xfId="0" applyNumberFormat="1" applyFont="1" applyFill="1" applyAlignment="1">
      <alignment horizontal="center" vertical="center"/>
    </xf>
    <xf numFmtId="165" fontId="25" fillId="51" borderId="0" xfId="0" applyNumberFormat="1" applyFont="1" applyFill="1" applyAlignment="1">
      <alignment horizontal="center" vertical="center"/>
    </xf>
    <xf numFmtId="165" fontId="22" fillId="41" borderId="0" xfId="0" applyNumberFormat="1" applyFont="1" applyFill="1" applyAlignment="1">
      <alignment vertical="center"/>
    </xf>
    <xf numFmtId="0" fontId="23" fillId="41" borderId="0" xfId="0" applyFont="1" applyFill="1" applyAlignment="1">
      <alignment horizontal="left" vertical="center"/>
    </xf>
    <xf numFmtId="165" fontId="22" fillId="41" borderId="10" xfId="0" applyNumberFormat="1" applyFont="1" applyFill="1" applyBorder="1" applyAlignment="1">
      <alignment vertical="center"/>
    </xf>
    <xf numFmtId="0" fontId="22" fillId="51" borderId="0" xfId="0" applyFont="1" applyFill="1" applyAlignment="1">
      <alignment horizontal="center" vertical="center"/>
    </xf>
    <xf numFmtId="168" fontId="22" fillId="54" borderId="0" xfId="0" applyNumberFormat="1" applyFont="1" applyFill="1" applyAlignment="1">
      <alignment horizontal="right" vertical="center"/>
    </xf>
    <xf numFmtId="37" fontId="22" fillId="54" borderId="0" xfId="0" applyNumberFormat="1" applyFont="1" applyFill="1" applyAlignment="1">
      <alignment horizontal="right" vertical="center"/>
    </xf>
    <xf numFmtId="168" fontId="22" fillId="54" borderId="4" xfId="0" applyNumberFormat="1" applyFont="1" applyFill="1" applyBorder="1" applyAlignment="1">
      <alignment horizontal="right" vertical="center"/>
    </xf>
    <xf numFmtId="37" fontId="22" fillId="54" borderId="2" xfId="0" applyNumberFormat="1" applyFont="1" applyFill="1" applyBorder="1" applyAlignment="1">
      <alignment horizontal="right" vertical="center"/>
    </xf>
    <xf numFmtId="37" fontId="68" fillId="24" borderId="3" xfId="0" applyNumberFormat="1" applyFont="1" applyFill="1" applyBorder="1"/>
    <xf numFmtId="0" fontId="23" fillId="46" borderId="0" xfId="0" applyFont="1" applyFill="1"/>
    <xf numFmtId="0" fontId="22" fillId="41" borderId="0" xfId="0" applyFont="1" applyFill="1"/>
    <xf numFmtId="37" fontId="23" fillId="46" borderId="0" xfId="0" applyNumberFormat="1" applyFont="1" applyFill="1"/>
    <xf numFmtId="37" fontId="68" fillId="51" borderId="0" xfId="0" applyNumberFormat="1" applyFont="1" applyFill="1"/>
    <xf numFmtId="0" fontId="22" fillId="51" borderId="0" xfId="0" applyFont="1" applyFill="1"/>
    <xf numFmtId="37" fontId="22" fillId="41" borderId="0" xfId="0" applyNumberFormat="1" applyFont="1" applyFill="1"/>
    <xf numFmtId="37" fontId="23" fillId="51" borderId="0" xfId="0" applyNumberFormat="1" applyFont="1" applyFill="1"/>
    <xf numFmtId="37" fontId="23" fillId="41" borderId="0" xfId="0" applyNumberFormat="1" applyFont="1" applyFill="1"/>
    <xf numFmtId="0" fontId="0" fillId="41" borderId="0" xfId="0" applyFill="1"/>
    <xf numFmtId="37" fontId="0" fillId="41" borderId="0" xfId="0" applyNumberFormat="1" applyFill="1"/>
    <xf numFmtId="0" fontId="23" fillId="41" borderId="0" xfId="0" applyFont="1" applyFill="1"/>
    <xf numFmtId="1" fontId="23" fillId="41" borderId="0" xfId="0" applyNumberFormat="1" applyFont="1" applyFill="1" applyAlignment="1">
      <alignment horizontal="right" vertical="center"/>
    </xf>
    <xf numFmtId="37" fontId="23" fillId="41" borderId="8" xfId="0" applyNumberFormat="1" applyFont="1" applyFill="1" applyBorder="1" applyAlignment="1">
      <alignment horizontal="right" vertical="center"/>
    </xf>
    <xf numFmtId="37" fontId="26" fillId="41" borderId="3" xfId="0" applyNumberFormat="1" applyFont="1" applyFill="1" applyBorder="1" applyAlignment="1">
      <alignment horizontal="right" vertical="center"/>
    </xf>
    <xf numFmtId="37" fontId="26" fillId="41" borderId="0" xfId="0" applyNumberFormat="1" applyFont="1" applyFill="1" applyAlignment="1">
      <alignment horizontal="right" vertical="center"/>
    </xf>
    <xf numFmtId="37" fontId="23" fillId="41" borderId="9" xfId="0" applyNumberFormat="1" applyFont="1" applyFill="1" applyBorder="1" applyAlignment="1">
      <alignment horizontal="right" vertical="center"/>
    </xf>
    <xf numFmtId="172" fontId="23" fillId="41" borderId="5" xfId="0" applyNumberFormat="1" applyFont="1" applyFill="1" applyBorder="1" applyAlignment="1">
      <alignment horizontal="right" vertical="center"/>
    </xf>
    <xf numFmtId="37" fontId="12" fillId="0" borderId="0" xfId="21" applyNumberFormat="1"/>
    <xf numFmtId="37" fontId="69" fillId="0" borderId="0" xfId="0" applyNumberFormat="1" applyFont="1"/>
    <xf numFmtId="3" fontId="70" fillId="0" borderId="0" xfId="21" applyNumberFormat="1" applyFont="1"/>
    <xf numFmtId="3" fontId="12" fillId="55" borderId="0" xfId="21" applyNumberFormat="1" applyFill="1"/>
    <xf numFmtId="37" fontId="22" fillId="56" borderId="0" xfId="0" applyNumberFormat="1" applyFont="1" applyFill="1" applyAlignment="1">
      <alignment horizontal="right"/>
    </xf>
    <xf numFmtId="0" fontId="71" fillId="0" borderId="0" xfId="21" applyFont="1"/>
    <xf numFmtId="3" fontId="71" fillId="0" borderId="0" xfId="21" applyNumberFormat="1" applyFont="1"/>
    <xf numFmtId="0" fontId="12" fillId="57" borderId="0" xfId="21" applyFill="1"/>
    <xf numFmtId="4" fontId="12" fillId="57" borderId="0" xfId="21" applyNumberFormat="1" applyFill="1"/>
    <xf numFmtId="3" fontId="12" fillId="57" borderId="0" xfId="21" applyNumberFormat="1" applyFill="1"/>
    <xf numFmtId="0" fontId="23" fillId="20" borderId="0" xfId="0" applyFont="1" applyFill="1" applyAlignment="1">
      <alignment horizontal="center"/>
    </xf>
    <xf numFmtId="0" fontId="23" fillId="20" borderId="0" xfId="0" applyFont="1" applyFill="1" applyAlignment="1">
      <alignment horizontal="right"/>
    </xf>
    <xf numFmtId="0" fontId="49" fillId="0" borderId="7" xfId="0" applyFont="1" applyBorder="1"/>
    <xf numFmtId="0" fontId="49" fillId="20" borderId="0" xfId="0" applyFont="1" applyFill="1"/>
    <xf numFmtId="0" fontId="49" fillId="0" borderId="0" xfId="0" applyFont="1"/>
    <xf numFmtId="0" fontId="72" fillId="23" borderId="15" xfId="0" applyFont="1" applyFill="1" applyBorder="1"/>
    <xf numFmtId="0" fontId="72" fillId="20" borderId="0" xfId="0" applyFont="1" applyFill="1"/>
    <xf numFmtId="4" fontId="72" fillId="0" borderId="10" xfId="0" applyNumberFormat="1" applyFont="1" applyBorder="1"/>
    <xf numFmtId="0" fontId="72" fillId="0" borderId="0" xfId="0" applyFont="1"/>
    <xf numFmtId="3" fontId="49" fillId="37" borderId="0" xfId="0" applyNumberFormat="1" applyFont="1" applyFill="1" applyAlignment="1">
      <alignment horizontal="right"/>
    </xf>
    <xf numFmtId="0" fontId="49" fillId="58" borderId="7" xfId="0" applyFont="1" applyFill="1" applyBorder="1"/>
    <xf numFmtId="0" fontId="72" fillId="59" borderId="15" xfId="0" applyFont="1" applyFill="1" applyBorder="1"/>
    <xf numFmtId="0" fontId="49" fillId="58" borderId="0" xfId="0" applyFont="1" applyFill="1"/>
    <xf numFmtId="0" fontId="72" fillId="58" borderId="0" xfId="0" applyFont="1" applyFill="1"/>
    <xf numFmtId="0" fontId="62" fillId="60" borderId="0" xfId="0" applyFont="1" applyFill="1" applyAlignment="1">
      <alignment horizontal="right"/>
    </xf>
    <xf numFmtId="183" fontId="62" fillId="60" borderId="0" xfId="0" applyNumberFormat="1" applyFont="1" applyFill="1"/>
    <xf numFmtId="4" fontId="38" fillId="58" borderId="0" xfId="0" applyNumberFormat="1" applyFont="1" applyFill="1"/>
    <xf numFmtId="0" fontId="38" fillId="58" borderId="0" xfId="0" applyFont="1" applyFill="1"/>
    <xf numFmtId="3" fontId="72" fillId="58" borderId="0" xfId="0" applyNumberFormat="1" applyFont="1" applyFill="1"/>
    <xf numFmtId="3" fontId="72" fillId="0" borderId="0" xfId="0" applyNumberFormat="1" applyFont="1"/>
    <xf numFmtId="3" fontId="49" fillId="0" borderId="0" xfId="0" applyNumberFormat="1" applyFont="1"/>
    <xf numFmtId="4" fontId="61" fillId="58" borderId="0" xfId="0" applyNumberFormat="1" applyFont="1" applyFill="1"/>
    <xf numFmtId="1" fontId="23" fillId="0" borderId="0" xfId="0" applyNumberFormat="1" applyFont="1" applyAlignment="1">
      <alignment horizontal="center" vertical="center"/>
    </xf>
    <xf numFmtId="1" fontId="23" fillId="43" borderId="0" xfId="0" applyNumberFormat="1" applyFont="1" applyFill="1" applyAlignment="1">
      <alignment horizontal="center" vertical="center"/>
    </xf>
    <xf numFmtId="1" fontId="23" fillId="44" borderId="0" xfId="0" applyNumberFormat="1" applyFont="1" applyFill="1" applyAlignment="1">
      <alignment horizontal="center" vertical="center"/>
    </xf>
    <xf numFmtId="1" fontId="23" fillId="45" borderId="0" xfId="0" applyNumberFormat="1" applyFont="1" applyFill="1" applyAlignment="1">
      <alignment horizontal="center" vertical="center"/>
    </xf>
    <xf numFmtId="1" fontId="23" fillId="42" borderId="0" xfId="0" applyNumberFormat="1" applyFont="1" applyFill="1" applyAlignment="1">
      <alignment horizontal="center" vertical="center"/>
    </xf>
    <xf numFmtId="1" fontId="23" fillId="46" borderId="0" xfId="0" applyNumberFormat="1" applyFont="1" applyFill="1" applyAlignment="1">
      <alignment horizontal="center" vertical="center"/>
    </xf>
    <xf numFmtId="0" fontId="23" fillId="19" borderId="0" xfId="0" applyFont="1" applyFill="1" applyAlignment="1">
      <alignment horizontal="center"/>
    </xf>
    <xf numFmtId="0" fontId="23" fillId="12" borderId="0" xfId="0" applyFont="1" applyFill="1" applyAlignment="1">
      <alignment horizontal="center"/>
    </xf>
    <xf numFmtId="0" fontId="22" fillId="0" borderId="0" xfId="0" applyFont="1" applyAlignment="1">
      <alignment horizontal="center" wrapText="1"/>
    </xf>
    <xf numFmtId="0" fontId="23" fillId="14" borderId="0" xfId="0" applyFont="1" applyFill="1" applyAlignment="1">
      <alignment horizontal="center"/>
    </xf>
    <xf numFmtId="169" fontId="22" fillId="0" borderId="0" xfId="0" applyNumberFormat="1" applyFont="1" applyAlignment="1">
      <alignment horizontal="left" vertical="center"/>
    </xf>
    <xf numFmtId="0" fontId="23" fillId="19" borderId="0" xfId="0" applyFont="1" applyFill="1" applyAlignment="1">
      <alignment horizontal="right"/>
    </xf>
    <xf numFmtId="0" fontId="23" fillId="20" borderId="0" xfId="0" applyFont="1" applyFill="1" applyAlignment="1">
      <alignment horizontal="center"/>
    </xf>
    <xf numFmtId="0" fontId="23" fillId="10" borderId="0" xfId="0" applyFont="1" applyFill="1" applyAlignment="1">
      <alignment horizontal="center"/>
    </xf>
    <xf numFmtId="0" fontId="23" fillId="14" borderId="0" xfId="0" applyFont="1" applyFill="1" applyAlignment="1">
      <alignment horizontal="right"/>
    </xf>
    <xf numFmtId="0" fontId="23" fillId="12" borderId="0" xfId="0" applyFont="1" applyFill="1" applyAlignment="1">
      <alignment horizontal="right"/>
    </xf>
    <xf numFmtId="0" fontId="23" fillId="20" borderId="0" xfId="0" applyFont="1" applyFill="1" applyAlignment="1">
      <alignment horizontal="right"/>
    </xf>
    <xf numFmtId="0" fontId="23" fillId="10" borderId="0" xfId="0" applyFont="1" applyFill="1" applyAlignment="1">
      <alignment horizontal="right"/>
    </xf>
    <xf numFmtId="0" fontId="23" fillId="4" borderId="0" xfId="0" applyFont="1" applyFill="1" applyAlignment="1">
      <alignment horizontal="right"/>
    </xf>
    <xf numFmtId="0" fontId="55" fillId="36" borderId="0" xfId="21" applyFont="1" applyFill="1"/>
    <xf numFmtId="168" fontId="24" fillId="47" borderId="6" xfId="0" applyNumberFormat="1" applyFont="1" applyFill="1" applyBorder="1" applyAlignment="1">
      <alignment horizontal="center" vertical="center"/>
    </xf>
  </cellXfs>
  <cellStyles count="27">
    <cellStyle name="Accent 1 5" xfId="2" xr:uid="{00000000-0005-0000-0000-000000000000}"/>
    <cellStyle name="Accent 2 6" xfId="3" xr:uid="{00000000-0005-0000-0000-000001000000}"/>
    <cellStyle name="Accent 3 7" xfId="4" xr:uid="{00000000-0005-0000-0000-000002000000}"/>
    <cellStyle name="Accent 4" xfId="5" xr:uid="{00000000-0005-0000-0000-000003000000}"/>
    <cellStyle name="Bad 8" xfId="6" xr:uid="{00000000-0005-0000-0000-000004000000}"/>
    <cellStyle name="Default" xfId="7" xr:uid="{00000000-0005-0000-0000-000005000000}"/>
    <cellStyle name="Error 9" xfId="8" xr:uid="{00000000-0005-0000-0000-000006000000}"/>
    <cellStyle name="Footnote 10" xfId="9" xr:uid="{00000000-0005-0000-0000-000007000000}"/>
    <cellStyle name="Good 11" xfId="10" xr:uid="{00000000-0005-0000-0000-000008000000}"/>
    <cellStyle name="Heading 1 13" xfId="11" xr:uid="{00000000-0005-0000-0000-000009000000}"/>
    <cellStyle name="Heading 12" xfId="12" xr:uid="{00000000-0005-0000-0000-00000A000000}"/>
    <cellStyle name="Heading 2 14" xfId="13" xr:uid="{00000000-0005-0000-0000-00000B000000}"/>
    <cellStyle name="Hyperlink 15" xfId="14" xr:uid="{00000000-0005-0000-0000-00000C000000}"/>
    <cellStyle name="Komma" xfId="1" builtinId="3"/>
    <cellStyle name="Komma 2" xfId="15" xr:uid="{00000000-0005-0000-0000-00000E000000}"/>
    <cellStyle name="Neutral 2" xfId="16" xr:uid="{00000000-0005-0000-0000-00000F000000}"/>
    <cellStyle name="Note 16" xfId="17" xr:uid="{00000000-0005-0000-0000-000010000000}"/>
    <cellStyle name="Prozent 2" xfId="18" xr:uid="{00000000-0005-0000-0000-000011000000}"/>
    <cellStyle name="Result 17" xfId="19" xr:uid="{00000000-0005-0000-0000-000012000000}"/>
    <cellStyle name="Standard" xfId="0" builtinId="0"/>
    <cellStyle name="Standard 1" xfId="20" xr:uid="{00000000-0005-0000-0000-000014000000}"/>
    <cellStyle name="Standard 2" xfId="21" xr:uid="{00000000-0005-0000-0000-000015000000}"/>
    <cellStyle name="Standard 3" xfId="22" xr:uid="{00000000-0005-0000-0000-000016000000}"/>
    <cellStyle name="Standard_ANALYSE.XLS" xfId="23" xr:uid="{00000000-0005-0000-0000-000017000000}"/>
    <cellStyle name="Status 18" xfId="24" xr:uid="{00000000-0005-0000-0000-000018000000}"/>
    <cellStyle name="Text 19" xfId="25" xr:uid="{00000000-0005-0000-0000-000019000000}"/>
    <cellStyle name="Warning 20" xfId="26" xr:uid="{00000000-0005-0000-0000-00001A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E2F0D9"/>
      <rgbColor rgb="FF0000EE"/>
      <rgbColor rgb="FFFFFF00"/>
      <rgbColor rgb="FFFBE5D6"/>
      <rgbColor rgb="FFDAE3F3"/>
      <rgbColor rgb="FFCC0000"/>
      <rgbColor rgb="FF006600"/>
      <rgbColor rgb="FF000080"/>
      <rgbColor rgb="FF996600"/>
      <rgbColor rgb="FFFFF2CC"/>
      <rgbColor rgb="FFE7E6E6"/>
      <rgbColor rgb="FFCCCCCC"/>
      <rgbColor rgb="FF808080"/>
      <rgbColor rgb="FF8FAADC"/>
      <rgbColor rgb="FFFFCCCC"/>
      <rgbColor rgb="FFFFFFCC"/>
      <rgbColor rgb="FFDEEBF7"/>
      <rgbColor rgb="FF660066"/>
      <rgbColor rgb="FFA5A5A5"/>
      <rgbColor rgb="FFFFD7D7"/>
      <rgbColor rgb="FFBDD7EE"/>
      <rgbColor rgb="FF000080"/>
      <rgbColor rgb="FFEEEEEE"/>
      <rgbColor rgb="FFFFE994"/>
      <rgbColor rgb="FFDBDBDB"/>
      <rgbColor rgb="FFFFFFD7"/>
      <rgbColor rgb="FF800000"/>
      <rgbColor rgb="FFFFD8CE"/>
      <rgbColor rgb="FF0000FF"/>
      <rgbColor rgb="FFD9D9D9"/>
      <rgbColor rgb="FFEBF1F8"/>
      <rgbColor rgb="FFCCFFCC"/>
      <rgbColor rgb="FFE8F2A1"/>
      <rgbColor rgb="FFB4C7E7"/>
      <rgbColor rgb="FFDC85E9"/>
      <rgbColor rgb="FFCC99FF"/>
      <rgbColor rgb="FFF8CBAD"/>
      <rgbColor rgb="FFDDDDDD"/>
      <rgbColor rgb="FFC5E0B4"/>
      <rgbColor rgb="FFC5E0B3"/>
      <rgbColor rgb="FFFFD966"/>
      <rgbColor rgb="FFFFE699"/>
      <rgbColor rgb="FFC55A11"/>
      <rgbColor rgb="FF767171"/>
      <rgbColor rgb="FF999999"/>
      <rgbColor rgb="FF003366"/>
      <rgbColor rgb="FF50938A"/>
      <rgbColor rgb="FF003300"/>
      <rgbColor rgb="FF385724"/>
      <rgbColor rgb="FFC9211E"/>
      <rgbColor rgb="FFFFCCFF"/>
      <rgbColor rgb="FFEDEDE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  <color rgb="FFFF7C80"/>
      <color rgb="FFFF66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e.statista.com/statistik/daten/studie/1219529/umfrage/entwicklung-der-ausgaben-fuer-lebensmittel-pro-monat-in-oesterreich/" TargetMode="External"/><Relationship Id="rId1" Type="http://schemas.openxmlformats.org/officeDocument/2006/relationships/hyperlink" Target="https://www.wko.at/statistik/prognose/inflation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Z48"/>
  <sheetViews>
    <sheetView showGridLines="0" view="pageBreakPreview" zoomScale="75" zoomScaleNormal="100" zoomScaleSheetLayoutView="75" workbookViewId="0">
      <pane xSplit="4" ySplit="9" topLeftCell="BD20" activePane="bottomRight" state="frozen"/>
      <selection pane="topRight" activeCell="E1" sqref="E1"/>
      <selection pane="bottomLeft" activeCell="A10" sqref="A10"/>
      <selection pane="bottomRight" activeCell="BH31" sqref="BH31"/>
    </sheetView>
  </sheetViews>
  <sheetFormatPr baseColWidth="10" defaultColWidth="11.54296875" defaultRowHeight="14.25" customHeight="1" x14ac:dyDescent="0.35"/>
  <cols>
    <col min="1" max="1" width="13.7265625" style="825" customWidth="1"/>
    <col min="2" max="2" width="42.54296875" style="827" customWidth="1"/>
    <col min="3" max="3" width="11.54296875" style="827"/>
    <col min="4" max="4" width="11.81640625" style="825" customWidth="1"/>
    <col min="5" max="6" width="8" style="828" customWidth="1"/>
    <col min="7" max="7" width="9" style="851" customWidth="1"/>
    <col min="8" max="10" width="8" style="828" customWidth="1"/>
    <col min="11" max="19" width="9.1796875" style="828" customWidth="1"/>
    <col min="20" max="20" width="10.453125" style="851" customWidth="1"/>
    <col min="21" max="21" width="9.1796875" style="821" customWidth="1"/>
    <col min="22" max="33" width="9.1796875" style="846" customWidth="1"/>
    <col min="34" max="34" width="18.81640625" style="851" customWidth="1"/>
    <col min="35" max="35" width="9.1796875" style="821" customWidth="1"/>
    <col min="36" max="47" width="9.1796875" style="846" customWidth="1"/>
    <col min="48" max="48" width="14.1796875" style="846" customWidth="1"/>
    <col min="49" max="49" width="9.1796875" style="821" customWidth="1"/>
    <col min="50" max="61" width="9.1796875" style="846" customWidth="1"/>
    <col min="62" max="62" width="14.1796875" style="851" customWidth="1"/>
    <col min="63" max="63" width="9.1796875" style="821" customWidth="1"/>
    <col min="64" max="75" width="9.1796875" style="828" customWidth="1"/>
    <col min="76" max="76" width="14.54296875" style="851" customWidth="1"/>
    <col min="77" max="77" width="9.1796875" style="821" customWidth="1"/>
    <col min="78" max="89" width="9.1796875" style="828" customWidth="1"/>
    <col min="90" max="90" width="14.54296875" style="851" customWidth="1"/>
    <col min="91" max="91" width="9.1796875" style="821" customWidth="1"/>
    <col min="92" max="103" width="9.1796875" style="828" customWidth="1"/>
    <col min="104" max="104" width="14.54296875" style="851" customWidth="1"/>
    <col min="105" max="16384" width="11.54296875" style="827"/>
  </cols>
  <sheetData>
    <row r="1" spans="1:104" s="818" customFormat="1" ht="14.5" x14ac:dyDescent="0.35">
      <c r="A1" s="816" t="s">
        <v>332</v>
      </c>
      <c r="B1" s="817" t="s">
        <v>333</v>
      </c>
      <c r="D1" s="816"/>
      <c r="E1" s="819">
        <v>2023</v>
      </c>
      <c r="F1" s="819"/>
      <c r="G1" s="819">
        <v>2023</v>
      </c>
      <c r="H1" s="1048">
        <v>2024</v>
      </c>
      <c r="I1" s="1048"/>
      <c r="J1" s="1048"/>
      <c r="K1" s="1048"/>
      <c r="L1" s="1048"/>
      <c r="M1" s="1048"/>
      <c r="N1" s="1048"/>
      <c r="O1" s="1048"/>
      <c r="P1" s="1048"/>
      <c r="Q1" s="1048"/>
      <c r="R1" s="1048"/>
      <c r="S1" s="1048"/>
      <c r="T1" s="820">
        <v>2024</v>
      </c>
      <c r="U1" s="821" t="s">
        <v>334</v>
      </c>
      <c r="V1" s="1049">
        <v>2025</v>
      </c>
      <c r="W1" s="1049"/>
      <c r="X1" s="1049"/>
      <c r="Y1" s="1049"/>
      <c r="Z1" s="1049"/>
      <c r="AA1" s="1049"/>
      <c r="AB1" s="1049"/>
      <c r="AC1" s="1049"/>
      <c r="AD1" s="1049"/>
      <c r="AE1" s="1049"/>
      <c r="AF1" s="1049"/>
      <c r="AG1" s="1049"/>
      <c r="AH1" s="822">
        <v>2025</v>
      </c>
      <c r="AI1" s="821" t="s">
        <v>334</v>
      </c>
      <c r="AJ1" s="1050">
        <v>2026</v>
      </c>
      <c r="AK1" s="1050"/>
      <c r="AL1" s="1050"/>
      <c r="AM1" s="1050"/>
      <c r="AN1" s="1050"/>
      <c r="AO1" s="1050"/>
      <c r="AP1" s="1050"/>
      <c r="AQ1" s="1050"/>
      <c r="AR1" s="1050"/>
      <c r="AS1" s="1050"/>
      <c r="AT1" s="1050"/>
      <c r="AU1" s="1050"/>
      <c r="AV1" s="823">
        <v>2026</v>
      </c>
      <c r="AW1" s="821" t="s">
        <v>334</v>
      </c>
      <c r="AX1" s="1051">
        <v>2027</v>
      </c>
      <c r="AY1" s="1051"/>
      <c r="AZ1" s="1051"/>
      <c r="BA1" s="1051"/>
      <c r="BB1" s="1051"/>
      <c r="BC1" s="1051"/>
      <c r="BD1" s="1051"/>
      <c r="BE1" s="1051"/>
      <c r="BF1" s="1051"/>
      <c r="BG1" s="1051"/>
      <c r="BH1" s="1051"/>
      <c r="BI1" s="1051"/>
      <c r="BJ1" s="819">
        <v>2027</v>
      </c>
      <c r="BK1" s="821" t="s">
        <v>334</v>
      </c>
      <c r="BL1" s="1052">
        <v>2028</v>
      </c>
      <c r="BM1" s="1052"/>
      <c r="BN1" s="1052"/>
      <c r="BO1" s="1052"/>
      <c r="BP1" s="1052"/>
      <c r="BQ1" s="1052"/>
      <c r="BR1" s="1052"/>
      <c r="BS1" s="1052"/>
      <c r="BT1" s="1052"/>
      <c r="BU1" s="1052"/>
      <c r="BV1" s="1052"/>
      <c r="BW1" s="1052"/>
      <c r="BX1" s="824">
        <v>2028</v>
      </c>
      <c r="BY1" s="793" t="s">
        <v>334</v>
      </c>
      <c r="BZ1" s="1047">
        <v>2029</v>
      </c>
      <c r="CA1" s="1047"/>
      <c r="CB1" s="1047"/>
      <c r="CC1" s="1047"/>
      <c r="CD1" s="1047"/>
      <c r="CE1" s="1047"/>
      <c r="CF1" s="1047"/>
      <c r="CG1" s="1047"/>
      <c r="CH1" s="1047"/>
      <c r="CI1" s="1047"/>
      <c r="CJ1" s="1047"/>
      <c r="CK1" s="1047"/>
      <c r="CL1" s="1009">
        <v>2029</v>
      </c>
      <c r="CM1" s="793" t="s">
        <v>334</v>
      </c>
      <c r="CN1" s="1047">
        <v>2030</v>
      </c>
      <c r="CO1" s="1047"/>
      <c r="CP1" s="1047"/>
      <c r="CQ1" s="1047"/>
      <c r="CR1" s="1047"/>
      <c r="CS1" s="1047"/>
      <c r="CT1" s="1047"/>
      <c r="CU1" s="1047"/>
      <c r="CV1" s="1047"/>
      <c r="CW1" s="1047"/>
      <c r="CX1" s="1047"/>
      <c r="CY1" s="1047"/>
      <c r="CZ1" s="1009">
        <v>2030</v>
      </c>
    </row>
    <row r="2" spans="1:104" ht="14.5" x14ac:dyDescent="0.35">
      <c r="B2" s="826" t="s">
        <v>335</v>
      </c>
      <c r="E2" s="828">
        <v>12</v>
      </c>
      <c r="F2" s="828">
        <v>1</v>
      </c>
      <c r="G2" s="829" t="s">
        <v>336</v>
      </c>
      <c r="H2" s="830">
        <v>2</v>
      </c>
      <c r="I2" s="830">
        <v>3</v>
      </c>
      <c r="J2" s="830">
        <v>4</v>
      </c>
      <c r="K2" s="830">
        <v>5</v>
      </c>
      <c r="L2" s="830">
        <v>6</v>
      </c>
      <c r="M2" s="830">
        <v>7</v>
      </c>
      <c r="N2" s="830">
        <v>8</v>
      </c>
      <c r="O2" s="830">
        <v>9</v>
      </c>
      <c r="P2" s="830">
        <v>10</v>
      </c>
      <c r="Q2" s="830">
        <v>11</v>
      </c>
      <c r="R2" s="830">
        <v>12</v>
      </c>
      <c r="S2" s="830">
        <v>1</v>
      </c>
      <c r="T2" s="831" t="s">
        <v>336</v>
      </c>
      <c r="U2" s="832">
        <v>0.04</v>
      </c>
      <c r="V2" s="833">
        <v>2</v>
      </c>
      <c r="W2" s="833">
        <v>3</v>
      </c>
      <c r="X2" s="833">
        <v>4</v>
      </c>
      <c r="Y2" s="833">
        <v>5</v>
      </c>
      <c r="Z2" s="833">
        <v>6</v>
      </c>
      <c r="AA2" s="833">
        <v>7</v>
      </c>
      <c r="AB2" s="833">
        <v>8</v>
      </c>
      <c r="AC2" s="833">
        <v>9</v>
      </c>
      <c r="AD2" s="833">
        <v>10</v>
      </c>
      <c r="AE2" s="833">
        <v>11</v>
      </c>
      <c r="AF2" s="833">
        <v>12</v>
      </c>
      <c r="AG2" s="833">
        <v>1</v>
      </c>
      <c r="AH2" s="834" t="s">
        <v>336</v>
      </c>
      <c r="AI2" s="832">
        <v>3.3000000000000002E-2</v>
      </c>
      <c r="AJ2" s="833">
        <v>2</v>
      </c>
      <c r="AK2" s="833">
        <v>3</v>
      </c>
      <c r="AL2" s="833">
        <v>4</v>
      </c>
      <c r="AM2" s="833">
        <v>5</v>
      </c>
      <c r="AN2" s="833">
        <v>6</v>
      </c>
      <c r="AO2" s="833">
        <v>7</v>
      </c>
      <c r="AP2" s="833">
        <v>8</v>
      </c>
      <c r="AQ2" s="833">
        <v>9</v>
      </c>
      <c r="AR2" s="833">
        <v>10</v>
      </c>
      <c r="AS2" s="833">
        <v>11</v>
      </c>
      <c r="AT2" s="833">
        <v>12</v>
      </c>
      <c r="AU2" s="833">
        <v>1</v>
      </c>
      <c r="AV2" s="835" t="s">
        <v>336</v>
      </c>
      <c r="AW2" s="832">
        <v>0.03</v>
      </c>
      <c r="AX2" s="836">
        <v>2</v>
      </c>
      <c r="AY2" s="836">
        <v>3</v>
      </c>
      <c r="AZ2" s="836">
        <v>4</v>
      </c>
      <c r="BA2" s="836">
        <v>5</v>
      </c>
      <c r="BB2" s="836">
        <v>6</v>
      </c>
      <c r="BC2" s="836">
        <v>7</v>
      </c>
      <c r="BD2" s="836">
        <v>8</v>
      </c>
      <c r="BE2" s="836">
        <v>9</v>
      </c>
      <c r="BF2" s="836">
        <v>10</v>
      </c>
      <c r="BG2" s="836">
        <v>11</v>
      </c>
      <c r="BH2" s="836">
        <v>12</v>
      </c>
      <c r="BI2" s="836">
        <v>1</v>
      </c>
      <c r="BJ2" s="837" t="s">
        <v>336</v>
      </c>
      <c r="BK2" s="832">
        <v>2.8000000000000001E-2</v>
      </c>
      <c r="BL2" s="838">
        <v>2</v>
      </c>
      <c r="BM2" s="838">
        <v>3</v>
      </c>
      <c r="BN2" s="838">
        <v>4</v>
      </c>
      <c r="BO2" s="838">
        <v>5</v>
      </c>
      <c r="BP2" s="838">
        <v>6</v>
      </c>
      <c r="BQ2" s="838">
        <v>7</v>
      </c>
      <c r="BR2" s="838">
        <v>8</v>
      </c>
      <c r="BS2" s="838">
        <v>9</v>
      </c>
      <c r="BT2" s="838">
        <v>10</v>
      </c>
      <c r="BU2" s="838">
        <v>11</v>
      </c>
      <c r="BV2" s="838">
        <v>12</v>
      </c>
      <c r="BW2" s="838">
        <v>1</v>
      </c>
      <c r="BX2" s="839" t="s">
        <v>336</v>
      </c>
      <c r="BY2" s="794">
        <v>2.8000000000000001E-2</v>
      </c>
      <c r="BZ2" s="795">
        <v>2</v>
      </c>
      <c r="CA2" s="795">
        <v>3</v>
      </c>
      <c r="CB2" s="795">
        <v>4</v>
      </c>
      <c r="CC2" s="795">
        <v>5</v>
      </c>
      <c r="CD2" s="795">
        <v>6</v>
      </c>
      <c r="CE2" s="795">
        <v>7</v>
      </c>
      <c r="CF2" s="795">
        <v>8</v>
      </c>
      <c r="CG2" s="795">
        <v>9</v>
      </c>
      <c r="CH2" s="795">
        <v>10</v>
      </c>
      <c r="CI2" s="795">
        <v>11</v>
      </c>
      <c r="CJ2" s="795">
        <v>12</v>
      </c>
      <c r="CK2" s="795">
        <v>1</v>
      </c>
      <c r="CL2" s="840" t="s">
        <v>336</v>
      </c>
      <c r="CM2" s="794">
        <v>2.8000000000000001E-2</v>
      </c>
      <c r="CN2" s="795">
        <v>2</v>
      </c>
      <c r="CO2" s="795">
        <v>3</v>
      </c>
      <c r="CP2" s="795">
        <v>4</v>
      </c>
      <c r="CQ2" s="795">
        <v>5</v>
      </c>
      <c r="CR2" s="795">
        <v>6</v>
      </c>
      <c r="CS2" s="795">
        <v>7</v>
      </c>
      <c r="CT2" s="795">
        <v>8</v>
      </c>
      <c r="CU2" s="795">
        <v>9</v>
      </c>
      <c r="CV2" s="795">
        <v>10</v>
      </c>
      <c r="CW2" s="795">
        <v>11</v>
      </c>
      <c r="CX2" s="795">
        <v>12</v>
      </c>
      <c r="CY2" s="795">
        <v>1</v>
      </c>
      <c r="CZ2" s="840" t="s">
        <v>336</v>
      </c>
    </row>
    <row r="3" spans="1:104" ht="14.5" x14ac:dyDescent="0.35">
      <c r="B3" s="841" t="s">
        <v>337</v>
      </c>
      <c r="C3" s="842"/>
      <c r="D3" s="843"/>
      <c r="E3" s="844">
        <v>357</v>
      </c>
      <c r="F3" s="844">
        <v>384</v>
      </c>
      <c r="G3" s="845">
        <f>F3</f>
        <v>384</v>
      </c>
      <c r="H3" s="844">
        <v>362</v>
      </c>
      <c r="I3" s="844">
        <v>447</v>
      </c>
      <c r="J3" s="844">
        <v>508</v>
      </c>
      <c r="K3" s="844">
        <v>609</v>
      </c>
      <c r="L3" s="844">
        <v>609</v>
      </c>
      <c r="M3" s="844">
        <v>622</v>
      </c>
      <c r="N3" s="844">
        <v>622</v>
      </c>
      <c r="O3" s="844">
        <v>679</v>
      </c>
      <c r="P3" s="844">
        <v>718</v>
      </c>
      <c r="Q3" s="844">
        <v>857</v>
      </c>
      <c r="R3" s="844">
        <v>875</v>
      </c>
      <c r="S3" s="844">
        <v>882</v>
      </c>
      <c r="T3" s="845">
        <f>S3</f>
        <v>882</v>
      </c>
      <c r="V3" s="846">
        <v>906</v>
      </c>
      <c r="W3" s="846">
        <v>928</v>
      </c>
      <c r="X3" s="846">
        <v>954</v>
      </c>
      <c r="Y3" s="846">
        <v>966</v>
      </c>
      <c r="Z3" s="847">
        <v>1000</v>
      </c>
      <c r="AA3" s="846">
        <f t="shared" ref="AA3:AG3" si="0">+Z3+AA4</f>
        <v>1010</v>
      </c>
      <c r="AB3" s="846">
        <f t="shared" si="0"/>
        <v>1020</v>
      </c>
      <c r="AC3" s="846">
        <f t="shared" si="0"/>
        <v>1040</v>
      </c>
      <c r="AD3" s="846">
        <f t="shared" si="0"/>
        <v>1160</v>
      </c>
      <c r="AE3" s="846">
        <f t="shared" si="0"/>
        <v>1240</v>
      </c>
      <c r="AF3" s="846">
        <f t="shared" si="0"/>
        <v>1300</v>
      </c>
      <c r="AG3" s="846">
        <f t="shared" si="0"/>
        <v>1350</v>
      </c>
      <c r="AH3" s="848">
        <f>AG3</f>
        <v>1350</v>
      </c>
      <c r="AJ3" s="846">
        <v>1363</v>
      </c>
      <c r="AK3" s="846">
        <f t="shared" ref="AK3:AU3" si="1">+AJ3+AK4</f>
        <v>1433</v>
      </c>
      <c r="AL3" s="846">
        <f t="shared" si="1"/>
        <v>1503</v>
      </c>
      <c r="AM3" s="846">
        <f t="shared" si="1"/>
        <v>1538</v>
      </c>
      <c r="AN3" s="846">
        <f t="shared" si="1"/>
        <v>1573</v>
      </c>
      <c r="AO3" s="846">
        <f t="shared" si="1"/>
        <v>1598</v>
      </c>
      <c r="AP3" s="846">
        <f t="shared" si="1"/>
        <v>1623</v>
      </c>
      <c r="AQ3" s="846">
        <f t="shared" si="1"/>
        <v>1653</v>
      </c>
      <c r="AR3" s="846">
        <f t="shared" si="1"/>
        <v>1693</v>
      </c>
      <c r="AS3" s="846">
        <f t="shared" si="1"/>
        <v>1733</v>
      </c>
      <c r="AT3" s="846">
        <f t="shared" si="1"/>
        <v>1773</v>
      </c>
      <c r="AU3" s="846">
        <f t="shared" si="1"/>
        <v>1803</v>
      </c>
      <c r="AV3" s="849">
        <f>AU3</f>
        <v>1803</v>
      </c>
      <c r="AX3" s="846">
        <f>+AU3+AX4</f>
        <v>1828</v>
      </c>
      <c r="AY3" s="846">
        <f t="shared" ref="AY3:BI3" si="2">+AX3+AY4</f>
        <v>1853</v>
      </c>
      <c r="AZ3" s="846">
        <f t="shared" si="2"/>
        <v>1878</v>
      </c>
      <c r="BA3" s="846">
        <f t="shared" si="2"/>
        <v>1903</v>
      </c>
      <c r="BB3" s="846">
        <f t="shared" si="2"/>
        <v>1928</v>
      </c>
      <c r="BC3" s="846">
        <f t="shared" si="2"/>
        <v>1953</v>
      </c>
      <c r="BD3" s="846">
        <f t="shared" si="2"/>
        <v>1978</v>
      </c>
      <c r="BE3" s="846">
        <f t="shared" si="2"/>
        <v>2003</v>
      </c>
      <c r="BF3" s="846">
        <f t="shared" si="2"/>
        <v>2028</v>
      </c>
      <c r="BG3" s="846">
        <f t="shared" si="2"/>
        <v>2053</v>
      </c>
      <c r="BH3" s="846">
        <f t="shared" si="2"/>
        <v>2078</v>
      </c>
      <c r="BI3" s="846">
        <f t="shared" si="2"/>
        <v>2103</v>
      </c>
      <c r="BJ3" s="829">
        <f>BI3</f>
        <v>2103</v>
      </c>
      <c r="BL3" s="828">
        <f>+BI3+BL4</f>
        <v>2118</v>
      </c>
      <c r="BM3" s="828">
        <f t="shared" ref="BM3:BW3" si="3">+BL3+BM4</f>
        <v>2133</v>
      </c>
      <c r="BN3" s="828">
        <f t="shared" si="3"/>
        <v>2148</v>
      </c>
      <c r="BO3" s="828">
        <f t="shared" si="3"/>
        <v>2163</v>
      </c>
      <c r="BP3" s="828">
        <f t="shared" si="3"/>
        <v>2178</v>
      </c>
      <c r="BQ3" s="828">
        <f t="shared" si="3"/>
        <v>2193</v>
      </c>
      <c r="BR3" s="828">
        <f t="shared" si="3"/>
        <v>2208</v>
      </c>
      <c r="BS3" s="828">
        <f t="shared" si="3"/>
        <v>2223</v>
      </c>
      <c r="BT3" s="828">
        <f t="shared" si="3"/>
        <v>2238</v>
      </c>
      <c r="BU3" s="828">
        <f t="shared" si="3"/>
        <v>2253</v>
      </c>
      <c r="BV3" s="828">
        <f t="shared" si="3"/>
        <v>2268</v>
      </c>
      <c r="BW3" s="828">
        <f t="shared" si="3"/>
        <v>2283</v>
      </c>
      <c r="BX3" s="850">
        <f>BW3</f>
        <v>2283</v>
      </c>
      <c r="BY3" s="993"/>
      <c r="BZ3" s="994">
        <f>+BW3+BZ4</f>
        <v>2298</v>
      </c>
      <c r="CA3" s="994">
        <f t="shared" ref="CA3" si="4">+BZ3+CA4</f>
        <v>2313</v>
      </c>
      <c r="CB3" s="994">
        <f t="shared" ref="CB3" si="5">+CA3+CB4</f>
        <v>2328</v>
      </c>
      <c r="CC3" s="994">
        <f t="shared" ref="CC3" si="6">+CB3+CC4</f>
        <v>2343</v>
      </c>
      <c r="CD3" s="994">
        <f t="shared" ref="CD3" si="7">+CC3+CD4</f>
        <v>2358</v>
      </c>
      <c r="CE3" s="994">
        <f t="shared" ref="CE3" si="8">+CD3+CE4</f>
        <v>2373</v>
      </c>
      <c r="CF3" s="994">
        <f t="shared" ref="CF3" si="9">+CE3+CF4</f>
        <v>2388</v>
      </c>
      <c r="CG3" s="994">
        <f t="shared" ref="CG3" si="10">+CF3+CG4</f>
        <v>2403</v>
      </c>
      <c r="CH3" s="994">
        <f t="shared" ref="CH3" si="11">+CG3+CH4</f>
        <v>2418</v>
      </c>
      <c r="CI3" s="994">
        <f t="shared" ref="CI3" si="12">+CH3+CI4</f>
        <v>2433</v>
      </c>
      <c r="CJ3" s="994">
        <f t="shared" ref="CJ3" si="13">+CI3+CJ4</f>
        <v>2448</v>
      </c>
      <c r="CK3" s="994">
        <f t="shared" ref="CK3" si="14">+CJ3+CK4</f>
        <v>2463</v>
      </c>
      <c r="CL3" s="851">
        <f>CK3</f>
        <v>2463</v>
      </c>
      <c r="CM3" s="993"/>
      <c r="CN3" s="994">
        <f>+CK3+CN4</f>
        <v>2478</v>
      </c>
      <c r="CO3" s="994">
        <f t="shared" ref="CO3" si="15">+CN3+CO4</f>
        <v>2493</v>
      </c>
      <c r="CP3" s="994">
        <f t="shared" ref="CP3" si="16">+CO3+CP4</f>
        <v>2508</v>
      </c>
      <c r="CQ3" s="994">
        <f t="shared" ref="CQ3" si="17">+CP3+CQ4</f>
        <v>2523</v>
      </c>
      <c r="CR3" s="994">
        <f t="shared" ref="CR3" si="18">+CQ3+CR4</f>
        <v>2538</v>
      </c>
      <c r="CS3" s="994">
        <f t="shared" ref="CS3" si="19">+CR3+CS4</f>
        <v>2553</v>
      </c>
      <c r="CT3" s="994">
        <f t="shared" ref="CT3" si="20">+CS3+CT4</f>
        <v>2568</v>
      </c>
      <c r="CU3" s="994">
        <f t="shared" ref="CU3" si="21">+CT3+CU4</f>
        <v>2583</v>
      </c>
      <c r="CV3" s="994">
        <f t="shared" ref="CV3" si="22">+CU3+CV4</f>
        <v>2598</v>
      </c>
      <c r="CW3" s="994">
        <f t="shared" ref="CW3" si="23">+CV3+CW4</f>
        <v>2613</v>
      </c>
      <c r="CX3" s="994">
        <f t="shared" ref="CX3" si="24">+CW3+CX4</f>
        <v>2628</v>
      </c>
      <c r="CY3" s="994">
        <f t="shared" ref="CY3" si="25">+CX3+CY4</f>
        <v>2643</v>
      </c>
      <c r="CZ3" s="851">
        <f>CY3</f>
        <v>2643</v>
      </c>
    </row>
    <row r="4" spans="1:104" ht="14.5" x14ac:dyDescent="0.35">
      <c r="B4" s="852" t="s">
        <v>338</v>
      </c>
      <c r="C4" s="853"/>
      <c r="D4" s="854"/>
      <c r="E4" s="838">
        <v>24</v>
      </c>
      <c r="F4" s="838">
        <f>F3-E3</f>
        <v>27</v>
      </c>
      <c r="G4" s="840">
        <f>F3</f>
        <v>384</v>
      </c>
      <c r="H4" s="838">
        <f>H3-F3</f>
        <v>-22</v>
      </c>
      <c r="I4" s="838">
        <f t="shared" ref="I4:S4" si="26">I3-H3</f>
        <v>85</v>
      </c>
      <c r="J4" s="838">
        <f t="shared" si="26"/>
        <v>61</v>
      </c>
      <c r="K4" s="838">
        <f t="shared" si="26"/>
        <v>101</v>
      </c>
      <c r="L4" s="838">
        <f t="shared" si="26"/>
        <v>0</v>
      </c>
      <c r="M4" s="838">
        <f t="shared" si="26"/>
        <v>13</v>
      </c>
      <c r="N4" s="838">
        <f t="shared" si="26"/>
        <v>0</v>
      </c>
      <c r="O4" s="838">
        <f t="shared" si="26"/>
        <v>57</v>
      </c>
      <c r="P4" s="838">
        <f t="shared" si="26"/>
        <v>39</v>
      </c>
      <c r="Q4" s="838">
        <f t="shared" si="26"/>
        <v>139</v>
      </c>
      <c r="R4" s="838">
        <f t="shared" si="26"/>
        <v>18</v>
      </c>
      <c r="S4" s="838">
        <f t="shared" si="26"/>
        <v>7</v>
      </c>
      <c r="T4" s="840">
        <f>SUM(H4:S4)</f>
        <v>498</v>
      </c>
      <c r="U4" s="855"/>
      <c r="V4" s="856">
        <f>V3-S3</f>
        <v>24</v>
      </c>
      <c r="W4" s="856">
        <f>W3-V3</f>
        <v>22</v>
      </c>
      <c r="X4" s="856">
        <f>X3-W3</f>
        <v>26</v>
      </c>
      <c r="Y4" s="856">
        <f>(Z3-X3)/2</f>
        <v>23</v>
      </c>
      <c r="Z4" s="856">
        <f>(Z3-X3)/2</f>
        <v>23</v>
      </c>
      <c r="AA4" s="847">
        <v>10</v>
      </c>
      <c r="AB4" s="847">
        <v>10</v>
      </c>
      <c r="AC4" s="847">
        <v>20</v>
      </c>
      <c r="AD4" s="847">
        <v>120</v>
      </c>
      <c r="AE4" s="847">
        <v>80</v>
      </c>
      <c r="AF4" s="847">
        <v>60</v>
      </c>
      <c r="AG4" s="847">
        <v>50</v>
      </c>
      <c r="AH4" s="857">
        <f>SUM(V4:AG4)</f>
        <v>468</v>
      </c>
      <c r="AI4" s="855"/>
      <c r="AJ4" s="858">
        <v>50</v>
      </c>
      <c r="AK4" s="858">
        <v>70</v>
      </c>
      <c r="AL4" s="858">
        <v>70</v>
      </c>
      <c r="AM4" s="858">
        <v>35</v>
      </c>
      <c r="AN4" s="858">
        <v>35</v>
      </c>
      <c r="AO4" s="858">
        <v>25</v>
      </c>
      <c r="AP4" s="858">
        <v>25</v>
      </c>
      <c r="AQ4" s="858">
        <v>30</v>
      </c>
      <c r="AR4" s="858">
        <v>40</v>
      </c>
      <c r="AS4" s="858">
        <v>40</v>
      </c>
      <c r="AT4" s="858">
        <v>40</v>
      </c>
      <c r="AU4" s="858">
        <v>30</v>
      </c>
      <c r="AV4" s="859">
        <f>SUM(AJ4:AU4)</f>
        <v>490</v>
      </c>
      <c r="AW4" s="855"/>
      <c r="AX4" s="858">
        <v>25</v>
      </c>
      <c r="AY4" s="858">
        <v>25</v>
      </c>
      <c r="AZ4" s="858">
        <v>25</v>
      </c>
      <c r="BA4" s="858">
        <v>25</v>
      </c>
      <c r="BB4" s="858">
        <v>25</v>
      </c>
      <c r="BC4" s="858">
        <v>25</v>
      </c>
      <c r="BD4" s="858">
        <v>25</v>
      </c>
      <c r="BE4" s="858">
        <v>25</v>
      </c>
      <c r="BF4" s="858">
        <v>25</v>
      </c>
      <c r="BG4" s="858">
        <v>25</v>
      </c>
      <c r="BH4" s="858">
        <v>25</v>
      </c>
      <c r="BI4" s="858">
        <v>25</v>
      </c>
      <c r="BJ4" s="837">
        <f>SUM(AX4:BI4)</f>
        <v>300</v>
      </c>
      <c r="BK4" s="855"/>
      <c r="BL4" s="860">
        <v>15</v>
      </c>
      <c r="BM4" s="860">
        <v>15</v>
      </c>
      <c r="BN4" s="860">
        <v>15</v>
      </c>
      <c r="BO4" s="860">
        <v>15</v>
      </c>
      <c r="BP4" s="860">
        <v>15</v>
      </c>
      <c r="BQ4" s="860">
        <v>15</v>
      </c>
      <c r="BR4" s="860">
        <v>15</v>
      </c>
      <c r="BS4" s="860">
        <v>15</v>
      </c>
      <c r="BT4" s="860">
        <v>15</v>
      </c>
      <c r="BU4" s="860">
        <v>15</v>
      </c>
      <c r="BV4" s="860">
        <v>15</v>
      </c>
      <c r="BW4" s="860">
        <v>15</v>
      </c>
      <c r="BX4" s="839">
        <f>SUM(BL4:BW4)</f>
        <v>180</v>
      </c>
      <c r="BY4" s="995"/>
      <c r="BZ4" s="996">
        <v>15</v>
      </c>
      <c r="CA4" s="996">
        <v>15</v>
      </c>
      <c r="CB4" s="996">
        <v>15</v>
      </c>
      <c r="CC4" s="996">
        <v>15</v>
      </c>
      <c r="CD4" s="996">
        <v>15</v>
      </c>
      <c r="CE4" s="996">
        <v>15</v>
      </c>
      <c r="CF4" s="996">
        <v>15</v>
      </c>
      <c r="CG4" s="996">
        <v>15</v>
      </c>
      <c r="CH4" s="996">
        <v>15</v>
      </c>
      <c r="CI4" s="996">
        <v>15</v>
      </c>
      <c r="CJ4" s="996">
        <v>15</v>
      </c>
      <c r="CK4" s="996">
        <v>15</v>
      </c>
      <c r="CL4" s="840">
        <f>SUM(BZ4:CK4)</f>
        <v>180</v>
      </c>
      <c r="CM4" s="995"/>
      <c r="CN4" s="996">
        <v>15</v>
      </c>
      <c r="CO4" s="996">
        <v>15</v>
      </c>
      <c r="CP4" s="996">
        <v>15</v>
      </c>
      <c r="CQ4" s="996">
        <v>15</v>
      </c>
      <c r="CR4" s="996">
        <v>15</v>
      </c>
      <c r="CS4" s="996">
        <v>15</v>
      </c>
      <c r="CT4" s="996">
        <v>15</v>
      </c>
      <c r="CU4" s="996">
        <v>15</v>
      </c>
      <c r="CV4" s="996">
        <v>15</v>
      </c>
      <c r="CW4" s="996">
        <v>15</v>
      </c>
      <c r="CX4" s="996">
        <v>15</v>
      </c>
      <c r="CY4" s="996">
        <v>15</v>
      </c>
      <c r="CZ4" s="840">
        <f>SUM(CN4:CY4)</f>
        <v>180</v>
      </c>
    </row>
    <row r="5" spans="1:104" ht="20.25" customHeight="1" x14ac:dyDescent="0.35">
      <c r="B5" s="861" t="s">
        <v>339</v>
      </c>
      <c r="E5" s="828">
        <v>311</v>
      </c>
      <c r="F5" s="828">
        <v>320</v>
      </c>
      <c r="G5" s="851">
        <f>F5</f>
        <v>320</v>
      </c>
      <c r="H5" s="828">
        <v>319</v>
      </c>
      <c r="I5" s="828">
        <v>391</v>
      </c>
      <c r="J5" s="828">
        <v>444</v>
      </c>
      <c r="K5" s="828">
        <v>509</v>
      </c>
      <c r="L5" s="828">
        <v>509</v>
      </c>
      <c r="M5" s="828">
        <v>522</v>
      </c>
      <c r="N5" s="828">
        <v>522</v>
      </c>
      <c r="O5" s="828">
        <v>574</v>
      </c>
      <c r="P5" s="828">
        <v>611</v>
      </c>
      <c r="Q5" s="828">
        <v>743</v>
      </c>
      <c r="R5" s="828">
        <v>759</v>
      </c>
      <c r="S5" s="828">
        <v>764</v>
      </c>
      <c r="T5" s="851">
        <f>S5</f>
        <v>764</v>
      </c>
      <c r="V5" s="828">
        <v>789</v>
      </c>
      <c r="W5" s="828">
        <v>809</v>
      </c>
      <c r="X5" s="828">
        <v>831</v>
      </c>
      <c r="Y5" s="828">
        <v>844</v>
      </c>
      <c r="Z5" s="828"/>
      <c r="AA5" s="828"/>
      <c r="AB5" s="828"/>
      <c r="AC5" s="828"/>
      <c r="AD5" s="828">
        <v>928</v>
      </c>
      <c r="AE5" s="828">
        <v>992</v>
      </c>
      <c r="AF5" s="828">
        <v>1040</v>
      </c>
      <c r="AG5" s="828">
        <v>1080</v>
      </c>
      <c r="AH5" s="851">
        <f>AG5</f>
        <v>1080</v>
      </c>
      <c r="AJ5" s="828">
        <v>1093</v>
      </c>
      <c r="AK5" s="828">
        <f t="shared" ref="AK5:AU5" si="27">AJ5+AJ4</f>
        <v>1143</v>
      </c>
      <c r="AL5" s="828">
        <f t="shared" si="27"/>
        <v>1213</v>
      </c>
      <c r="AM5" s="828">
        <f t="shared" si="27"/>
        <v>1283</v>
      </c>
      <c r="AN5" s="828">
        <f t="shared" si="27"/>
        <v>1318</v>
      </c>
      <c r="AO5" s="828">
        <f t="shared" si="27"/>
        <v>1353</v>
      </c>
      <c r="AP5" s="828">
        <f t="shared" si="27"/>
        <v>1378</v>
      </c>
      <c r="AQ5" s="828">
        <f t="shared" si="27"/>
        <v>1403</v>
      </c>
      <c r="AR5" s="828">
        <f t="shared" si="27"/>
        <v>1433</v>
      </c>
      <c r="AS5" s="828">
        <f t="shared" si="27"/>
        <v>1473</v>
      </c>
      <c r="AT5" s="828">
        <f t="shared" si="27"/>
        <v>1513</v>
      </c>
      <c r="AU5" s="828">
        <f t="shared" si="27"/>
        <v>1553</v>
      </c>
      <c r="AV5" s="862">
        <f>AU5</f>
        <v>1553</v>
      </c>
      <c r="AX5" s="828">
        <f>AU5+AU4</f>
        <v>1583</v>
      </c>
      <c r="AY5" s="828">
        <f t="shared" ref="AY5:BI5" si="28">AX5+AX4</f>
        <v>1608</v>
      </c>
      <c r="AZ5" s="828">
        <f t="shared" si="28"/>
        <v>1633</v>
      </c>
      <c r="BA5" s="828">
        <f t="shared" si="28"/>
        <v>1658</v>
      </c>
      <c r="BB5" s="828">
        <f t="shared" si="28"/>
        <v>1683</v>
      </c>
      <c r="BC5" s="828">
        <f t="shared" si="28"/>
        <v>1708</v>
      </c>
      <c r="BD5" s="828">
        <f t="shared" si="28"/>
        <v>1733</v>
      </c>
      <c r="BE5" s="828">
        <f t="shared" si="28"/>
        <v>1758</v>
      </c>
      <c r="BF5" s="828">
        <f t="shared" si="28"/>
        <v>1783</v>
      </c>
      <c r="BG5" s="828">
        <f t="shared" si="28"/>
        <v>1808</v>
      </c>
      <c r="BH5" s="828">
        <f t="shared" si="28"/>
        <v>1833</v>
      </c>
      <c r="BI5" s="828">
        <f t="shared" si="28"/>
        <v>1858</v>
      </c>
      <c r="BL5" s="828">
        <f>BI5+BI4</f>
        <v>1883</v>
      </c>
      <c r="BM5" s="828">
        <f t="shared" ref="BM5:BW5" si="29">BL5+BL4</f>
        <v>1898</v>
      </c>
      <c r="BN5" s="828">
        <f t="shared" si="29"/>
        <v>1913</v>
      </c>
      <c r="BO5" s="828">
        <f t="shared" si="29"/>
        <v>1928</v>
      </c>
      <c r="BP5" s="828">
        <f t="shared" si="29"/>
        <v>1943</v>
      </c>
      <c r="BQ5" s="828">
        <f t="shared" si="29"/>
        <v>1958</v>
      </c>
      <c r="BR5" s="828">
        <f t="shared" si="29"/>
        <v>1973</v>
      </c>
      <c r="BS5" s="828">
        <f t="shared" si="29"/>
        <v>1988</v>
      </c>
      <c r="BT5" s="828">
        <f t="shared" si="29"/>
        <v>2003</v>
      </c>
      <c r="BU5" s="828">
        <f t="shared" si="29"/>
        <v>2018</v>
      </c>
      <c r="BV5" s="828">
        <f t="shared" si="29"/>
        <v>2033</v>
      </c>
      <c r="BW5" s="828">
        <f t="shared" si="29"/>
        <v>2048</v>
      </c>
      <c r="BY5" s="793"/>
      <c r="BZ5" s="23">
        <f>BW5+BW4</f>
        <v>2063</v>
      </c>
      <c r="CA5" s="23">
        <f t="shared" ref="CA5" si="30">BZ5+BZ4</f>
        <v>2078</v>
      </c>
      <c r="CB5" s="23">
        <f t="shared" ref="CB5" si="31">CA5+CA4</f>
        <v>2093</v>
      </c>
      <c r="CC5" s="23">
        <f t="shared" ref="CC5" si="32">CB5+CB4</f>
        <v>2108</v>
      </c>
      <c r="CD5" s="23">
        <f t="shared" ref="CD5" si="33">CC5+CC4</f>
        <v>2123</v>
      </c>
      <c r="CE5" s="23">
        <f t="shared" ref="CE5" si="34">CD5+CD4</f>
        <v>2138</v>
      </c>
      <c r="CF5" s="23">
        <f t="shared" ref="CF5" si="35">CE5+CE4</f>
        <v>2153</v>
      </c>
      <c r="CG5" s="23">
        <f t="shared" ref="CG5" si="36">CF5+CF4</f>
        <v>2168</v>
      </c>
      <c r="CH5" s="23">
        <f t="shared" ref="CH5" si="37">CG5+CG4</f>
        <v>2183</v>
      </c>
      <c r="CI5" s="23">
        <f t="shared" ref="CI5" si="38">CH5+CH4</f>
        <v>2198</v>
      </c>
      <c r="CJ5" s="23">
        <f t="shared" ref="CJ5" si="39">CI5+CI4</f>
        <v>2213</v>
      </c>
      <c r="CK5" s="23">
        <f t="shared" ref="CK5" si="40">CJ5+CJ4</f>
        <v>2228</v>
      </c>
      <c r="CM5" s="793"/>
      <c r="CN5" s="23">
        <f>CK5+CK4</f>
        <v>2243</v>
      </c>
      <c r="CO5" s="23">
        <f t="shared" ref="CO5" si="41">CN5+CN4</f>
        <v>2258</v>
      </c>
      <c r="CP5" s="23">
        <f t="shared" ref="CP5" si="42">CO5+CO4</f>
        <v>2273</v>
      </c>
      <c r="CQ5" s="23">
        <f t="shared" ref="CQ5" si="43">CP5+CP4</f>
        <v>2288</v>
      </c>
      <c r="CR5" s="23">
        <f t="shared" ref="CR5" si="44">CQ5+CQ4</f>
        <v>2303</v>
      </c>
      <c r="CS5" s="23">
        <f t="shared" ref="CS5" si="45">CR5+CR4</f>
        <v>2318</v>
      </c>
      <c r="CT5" s="23">
        <f t="shared" ref="CT5" si="46">CS5+CS4</f>
        <v>2333</v>
      </c>
      <c r="CU5" s="23">
        <f t="shared" ref="CU5" si="47">CT5+CT4</f>
        <v>2348</v>
      </c>
      <c r="CV5" s="23">
        <f t="shared" ref="CV5" si="48">CU5+CU4</f>
        <v>2363</v>
      </c>
      <c r="CW5" s="23">
        <f t="shared" ref="CW5" si="49">CV5+CV4</f>
        <v>2378</v>
      </c>
      <c r="CX5" s="23">
        <f t="shared" ref="CX5" si="50">CW5+CW4</f>
        <v>2393</v>
      </c>
      <c r="CY5" s="23">
        <f t="shared" ref="CY5" si="51">CX5+CX4</f>
        <v>2408</v>
      </c>
    </row>
    <row r="6" spans="1:104" ht="14.5" x14ac:dyDescent="0.35">
      <c r="B6" s="852" t="s">
        <v>340</v>
      </c>
      <c r="C6" s="853"/>
      <c r="D6" s="863">
        <v>0.25</v>
      </c>
      <c r="E6" s="838"/>
      <c r="F6" s="838"/>
      <c r="G6" s="840">
        <v>0</v>
      </c>
      <c r="H6" s="838"/>
      <c r="I6" s="838"/>
      <c r="J6" s="838"/>
      <c r="K6" s="838"/>
      <c r="L6" s="838"/>
      <c r="M6" s="838"/>
      <c r="N6" s="838"/>
      <c r="O6" s="838"/>
      <c r="P6" s="838">
        <v>1</v>
      </c>
      <c r="Q6" s="838">
        <v>22</v>
      </c>
      <c r="R6" s="838">
        <v>36</v>
      </c>
      <c r="S6" s="838">
        <v>36</v>
      </c>
      <c r="T6" s="840">
        <f>S6</f>
        <v>36</v>
      </c>
      <c r="U6" s="855"/>
      <c r="V6" s="838">
        <v>43</v>
      </c>
      <c r="W6" s="838">
        <v>51</v>
      </c>
      <c r="X6" s="838">
        <v>59</v>
      </c>
      <c r="Y6" s="838">
        <v>70</v>
      </c>
      <c r="Z6" s="838"/>
      <c r="AA6" s="838"/>
      <c r="AB6" s="838"/>
      <c r="AC6" s="838"/>
      <c r="AD6" s="838"/>
      <c r="AE6" s="838"/>
      <c r="AF6" s="838"/>
      <c r="AG6" s="838"/>
      <c r="AH6" s="840">
        <f>AG6</f>
        <v>0</v>
      </c>
      <c r="AI6" s="855"/>
      <c r="AJ6" s="838"/>
      <c r="AK6" s="838"/>
      <c r="AL6" s="838"/>
      <c r="AM6" s="838"/>
      <c r="AN6" s="838"/>
      <c r="AO6" s="838"/>
      <c r="AP6" s="838"/>
      <c r="AQ6" s="838"/>
      <c r="AR6" s="838"/>
      <c r="AS6" s="838"/>
      <c r="AT6" s="838"/>
      <c r="AU6" s="838"/>
      <c r="AV6" s="864">
        <f>AU6</f>
        <v>0</v>
      </c>
      <c r="AW6" s="855"/>
      <c r="AX6" s="838"/>
      <c r="AY6" s="838"/>
      <c r="AZ6" s="838"/>
      <c r="BA6" s="838"/>
      <c r="BB6" s="838"/>
      <c r="BC6" s="838"/>
      <c r="BD6" s="838"/>
      <c r="BE6" s="838"/>
      <c r="BF6" s="838"/>
      <c r="BG6" s="838"/>
      <c r="BH6" s="838"/>
      <c r="BI6" s="838"/>
      <c r="BJ6" s="840"/>
      <c r="BK6" s="855"/>
      <c r="BL6" s="838"/>
      <c r="BM6" s="838"/>
      <c r="BN6" s="838"/>
      <c r="BO6" s="838"/>
      <c r="BP6" s="838"/>
      <c r="BQ6" s="838"/>
      <c r="BR6" s="838"/>
      <c r="BS6" s="838"/>
      <c r="BT6" s="838"/>
      <c r="BU6" s="838"/>
      <c r="BV6" s="838"/>
      <c r="BW6" s="838"/>
      <c r="BX6" s="840"/>
      <c r="BY6" s="796"/>
      <c r="BZ6" s="795"/>
      <c r="CA6" s="795"/>
      <c r="CB6" s="795"/>
      <c r="CC6" s="795"/>
      <c r="CD6" s="795"/>
      <c r="CE6" s="795"/>
      <c r="CF6" s="795"/>
      <c r="CG6" s="795"/>
      <c r="CH6" s="795"/>
      <c r="CI6" s="795"/>
      <c r="CJ6" s="795"/>
      <c r="CK6" s="795"/>
      <c r="CL6" s="840"/>
      <c r="CM6" s="796"/>
      <c r="CN6" s="795"/>
      <c r="CO6" s="795"/>
      <c r="CP6" s="795"/>
      <c r="CQ6" s="795"/>
      <c r="CR6" s="795"/>
      <c r="CS6" s="795"/>
      <c r="CT6" s="795"/>
      <c r="CU6" s="795"/>
      <c r="CV6" s="795"/>
      <c r="CW6" s="795"/>
      <c r="CX6" s="795"/>
      <c r="CY6" s="795"/>
      <c r="CZ6" s="840"/>
    </row>
    <row r="7" spans="1:104" ht="14.5" x14ac:dyDescent="0.35">
      <c r="B7" s="861" t="s">
        <v>341</v>
      </c>
      <c r="D7" s="863" t="s">
        <v>342</v>
      </c>
      <c r="AD7" s="846">
        <f>AD5*AD45</f>
        <v>492.79999999999995</v>
      </c>
      <c r="AE7" s="846">
        <f>AE5*AE45</f>
        <v>544</v>
      </c>
      <c r="AF7" s="846">
        <f>AF5*AF45</f>
        <v>582.40000000000009</v>
      </c>
      <c r="AG7" s="846">
        <f>AG5*AG45</f>
        <v>614.4</v>
      </c>
      <c r="AH7" s="851">
        <f>AG7</f>
        <v>614.4</v>
      </c>
      <c r="AJ7" s="846">
        <f t="shared" ref="AJ7:AU7" si="52">AJ5*AJ45</f>
        <v>624.2048422597212</v>
      </c>
      <c r="AK7" s="846">
        <f t="shared" si="52"/>
        <v>665.54026517794841</v>
      </c>
      <c r="AL7" s="846">
        <f t="shared" si="52"/>
        <v>718.59960079840323</v>
      </c>
      <c r="AM7" s="846">
        <f t="shared" si="52"/>
        <v>766.12951885565667</v>
      </c>
      <c r="AN7" s="846">
        <f t="shared" si="52"/>
        <v>792.97851239669421</v>
      </c>
      <c r="AO7" s="846">
        <f t="shared" si="52"/>
        <v>818.23479349186482</v>
      </c>
      <c r="AP7" s="846">
        <f t="shared" si="52"/>
        <v>837.49796672828109</v>
      </c>
      <c r="AQ7" s="846">
        <f t="shared" si="52"/>
        <v>857.58693284936476</v>
      </c>
      <c r="AR7" s="846">
        <f t="shared" si="52"/>
        <v>882.31494388659189</v>
      </c>
      <c r="AS7" s="846">
        <f t="shared" si="52"/>
        <v>913.20900173110226</v>
      </c>
      <c r="AT7" s="846">
        <f t="shared" si="52"/>
        <v>944.15296108291034</v>
      </c>
      <c r="AU7" s="846">
        <f t="shared" si="52"/>
        <v>973.66123128119796</v>
      </c>
      <c r="AV7" s="862">
        <f>AU7</f>
        <v>973.66123128119796</v>
      </c>
      <c r="AX7" s="846">
        <f t="shared" ref="AX7:BI7" si="53">AX5*AX45</f>
        <v>996.21619256017493</v>
      </c>
      <c r="AY7" s="846">
        <f t="shared" si="53"/>
        <v>1015.652023745278</v>
      </c>
      <c r="AZ7" s="846">
        <f t="shared" si="53"/>
        <v>1035.102875399361</v>
      </c>
      <c r="BA7" s="846">
        <f t="shared" si="53"/>
        <v>1054.568155543878</v>
      </c>
      <c r="BB7" s="846">
        <f t="shared" si="53"/>
        <v>1074.0473029045643</v>
      </c>
      <c r="BC7" s="846">
        <f t="shared" si="53"/>
        <v>1093.5397849462365</v>
      </c>
      <c r="BD7" s="846">
        <f t="shared" si="53"/>
        <v>1113.0450960566229</v>
      </c>
      <c r="BE7" s="846">
        <f t="shared" si="53"/>
        <v>1132.5627558662009</v>
      </c>
      <c r="BF7" s="846">
        <f t="shared" si="53"/>
        <v>1152.0923076923075</v>
      </c>
      <c r="BG7" s="846">
        <f t="shared" si="53"/>
        <v>1171.6333170969313</v>
      </c>
      <c r="BH7" s="846">
        <f t="shared" si="53"/>
        <v>1191.1853705486044</v>
      </c>
      <c r="BI7" s="846">
        <f t="shared" si="53"/>
        <v>1210.7480741797433</v>
      </c>
      <c r="BJ7" s="851">
        <f>BI7</f>
        <v>1210.7480741797433</v>
      </c>
      <c r="BL7" s="846">
        <f t="shared" ref="BL7:BV7" si="54">BL5*BL45</f>
        <v>1229.017563739377</v>
      </c>
      <c r="BM7" s="846">
        <f t="shared" si="54"/>
        <v>1240.7741209563994</v>
      </c>
      <c r="BN7" s="846">
        <f t="shared" si="54"/>
        <v>1252.5340782122905</v>
      </c>
      <c r="BO7" s="846">
        <f t="shared" si="54"/>
        <v>1264.2973647711513</v>
      </c>
      <c r="BP7" s="846">
        <f t="shared" si="54"/>
        <v>1276.0639118457302</v>
      </c>
      <c r="BQ7" s="846">
        <f t="shared" si="54"/>
        <v>1287.8336525307798</v>
      </c>
      <c r="BR7" s="846">
        <f t="shared" si="54"/>
        <v>1299.6065217391306</v>
      </c>
      <c r="BS7" s="846">
        <f t="shared" si="54"/>
        <v>1311.382456140351</v>
      </c>
      <c r="BT7" s="846">
        <f t="shared" si="54"/>
        <v>1323.1613941018766</v>
      </c>
      <c r="BU7" s="846">
        <f t="shared" si="54"/>
        <v>1334.9432756324902</v>
      </c>
      <c r="BV7" s="846">
        <f t="shared" si="54"/>
        <v>1346.7280423280424</v>
      </c>
      <c r="BW7" s="846">
        <f>BW5*BW45</f>
        <v>1358.5156373193167</v>
      </c>
      <c r="BX7" s="851">
        <f>BW7</f>
        <v>1358.5156373193167</v>
      </c>
      <c r="BY7" s="793"/>
      <c r="BZ7" s="24">
        <f>BZ5*BZ45</f>
        <v>1370.3060052219321</v>
      </c>
      <c r="CA7" s="24">
        <f t="shared" ref="CA7:CK7" si="55">CA5*CA45</f>
        <v>1382.0990920881973</v>
      </c>
      <c r="CB7" s="24">
        <f t="shared" si="55"/>
        <v>1393.894845360825</v>
      </c>
      <c r="CC7" s="24">
        <f t="shared" si="55"/>
        <v>1405.6932138284251</v>
      </c>
      <c r="CD7" s="24">
        <f t="shared" si="55"/>
        <v>1417.4941475826975</v>
      </c>
      <c r="CE7" s="24">
        <f t="shared" si="55"/>
        <v>1429.2975979772441</v>
      </c>
      <c r="CF7" s="24">
        <f t="shared" si="55"/>
        <v>1441.1035175879397</v>
      </c>
      <c r="CG7" s="24">
        <f t="shared" si="55"/>
        <v>1452.9118601747814</v>
      </c>
      <c r="CH7" s="24">
        <f t="shared" si="55"/>
        <v>1464.7225806451613</v>
      </c>
      <c r="CI7" s="24">
        <f t="shared" si="55"/>
        <v>1476.5356350184959</v>
      </c>
      <c r="CJ7" s="24">
        <f t="shared" si="55"/>
        <v>1488.3509803921568</v>
      </c>
      <c r="CK7" s="24">
        <f t="shared" si="55"/>
        <v>1500.168574908648</v>
      </c>
      <c r="CL7" s="851">
        <f>CK7</f>
        <v>1500.168574908648</v>
      </c>
      <c r="CM7" s="793"/>
      <c r="CN7" s="24">
        <f t="shared" ref="CN7:CY7" si="56">CN5*CN45</f>
        <v>1511.9883777239709</v>
      </c>
      <c r="CO7" s="24">
        <f t="shared" si="56"/>
        <v>1523.8103489771361</v>
      </c>
      <c r="CP7" s="24">
        <f t="shared" si="56"/>
        <v>1535.6344497607656</v>
      </c>
      <c r="CQ7" s="24">
        <f t="shared" si="56"/>
        <v>1547.4606420927469</v>
      </c>
      <c r="CR7" s="24">
        <f t="shared" si="56"/>
        <v>1559.2888888888888</v>
      </c>
      <c r="CS7" s="24">
        <f t="shared" si="56"/>
        <v>1571.1191539365452</v>
      </c>
      <c r="CT7" s="24">
        <f t="shared" si="56"/>
        <v>1582.9514018691589</v>
      </c>
      <c r="CU7" s="24">
        <f t="shared" si="56"/>
        <v>1594.7855981416958</v>
      </c>
      <c r="CV7" s="24">
        <f t="shared" si="56"/>
        <v>1606.6217090069283</v>
      </c>
      <c r="CW7" s="24">
        <f t="shared" si="56"/>
        <v>1618.4597014925373</v>
      </c>
      <c r="CX7" s="24">
        <f t="shared" si="56"/>
        <v>1630.2995433789956</v>
      </c>
      <c r="CY7" s="24">
        <f t="shared" si="56"/>
        <v>1642.1412031782068</v>
      </c>
      <c r="CZ7" s="851">
        <f>CY7</f>
        <v>1642.1412031782068</v>
      </c>
    </row>
    <row r="8" spans="1:104" ht="14.5" x14ac:dyDescent="0.35">
      <c r="B8" s="865" t="s">
        <v>343</v>
      </c>
      <c r="C8" s="866"/>
      <c r="D8" s="867">
        <v>0.7</v>
      </c>
      <c r="E8" s="868"/>
      <c r="F8" s="868"/>
      <c r="G8" s="869"/>
      <c r="H8" s="868"/>
      <c r="I8" s="868"/>
      <c r="J8" s="868"/>
      <c r="K8" s="868"/>
      <c r="L8" s="868"/>
      <c r="M8" s="868"/>
      <c r="N8" s="868"/>
      <c r="O8" s="868"/>
      <c r="P8" s="868"/>
      <c r="Q8" s="868"/>
      <c r="R8" s="868"/>
      <c r="S8" s="868"/>
      <c r="T8" s="869"/>
      <c r="U8" s="870"/>
      <c r="V8" s="871"/>
      <c r="W8" s="871"/>
      <c r="X8" s="871"/>
      <c r="Y8" s="871"/>
      <c r="Z8" s="871"/>
      <c r="AA8" s="871"/>
      <c r="AB8" s="871"/>
      <c r="AC8" s="871"/>
      <c r="AD8" s="871">
        <f>+AD7*$D8</f>
        <v>344.95999999999992</v>
      </c>
      <c r="AE8" s="871">
        <f>+AE7*$D8</f>
        <v>380.79999999999995</v>
      </c>
      <c r="AF8" s="871">
        <f>+AF7*$D8</f>
        <v>407.68000000000006</v>
      </c>
      <c r="AG8" s="871">
        <f>+AG7*$D8</f>
        <v>430.08</v>
      </c>
      <c r="AH8" s="869">
        <f>AG8</f>
        <v>430.08</v>
      </c>
      <c r="AI8" s="870"/>
      <c r="AJ8" s="871">
        <f t="shared" ref="AJ8:AU8" si="57">+AJ7*$D8</f>
        <v>436.94338958180481</v>
      </c>
      <c r="AK8" s="871">
        <f t="shared" si="57"/>
        <v>465.87818562456386</v>
      </c>
      <c r="AL8" s="871">
        <f t="shared" si="57"/>
        <v>503.01972055888223</v>
      </c>
      <c r="AM8" s="871">
        <f t="shared" si="57"/>
        <v>536.29066319895969</v>
      </c>
      <c r="AN8" s="871">
        <f t="shared" si="57"/>
        <v>555.0849586776859</v>
      </c>
      <c r="AO8" s="871">
        <f t="shared" si="57"/>
        <v>572.76435544430535</v>
      </c>
      <c r="AP8" s="871">
        <f t="shared" si="57"/>
        <v>586.24857670979668</v>
      </c>
      <c r="AQ8" s="871">
        <f t="shared" si="57"/>
        <v>600.31085299455526</v>
      </c>
      <c r="AR8" s="871">
        <f t="shared" si="57"/>
        <v>617.62046072061423</v>
      </c>
      <c r="AS8" s="871">
        <f t="shared" si="57"/>
        <v>639.24630121177154</v>
      </c>
      <c r="AT8" s="871">
        <f t="shared" si="57"/>
        <v>660.9070727580372</v>
      </c>
      <c r="AU8" s="871">
        <f t="shared" si="57"/>
        <v>681.56286189683851</v>
      </c>
      <c r="AV8" s="872">
        <f>AU8</f>
        <v>681.56286189683851</v>
      </c>
      <c r="AW8" s="870"/>
      <c r="AX8" s="871">
        <f t="shared" ref="AX8:BI8" si="58">+AX7*$D8</f>
        <v>697.35133479212243</v>
      </c>
      <c r="AY8" s="871">
        <f t="shared" si="58"/>
        <v>710.95641662169453</v>
      </c>
      <c r="AZ8" s="871">
        <f t="shared" si="58"/>
        <v>724.57201277955267</v>
      </c>
      <c r="BA8" s="871">
        <f t="shared" si="58"/>
        <v>738.19770888071457</v>
      </c>
      <c r="BB8" s="871">
        <f t="shared" si="58"/>
        <v>751.83311203319499</v>
      </c>
      <c r="BC8" s="871">
        <f t="shared" si="58"/>
        <v>765.4778494623655</v>
      </c>
      <c r="BD8" s="871">
        <f t="shared" si="58"/>
        <v>779.13156723963596</v>
      </c>
      <c r="BE8" s="871">
        <f t="shared" si="58"/>
        <v>792.79392910634056</v>
      </c>
      <c r="BF8" s="871">
        <f t="shared" si="58"/>
        <v>806.46461538461517</v>
      </c>
      <c r="BG8" s="871">
        <f t="shared" si="58"/>
        <v>820.14332196785188</v>
      </c>
      <c r="BH8" s="871">
        <f t="shared" si="58"/>
        <v>833.82975938402308</v>
      </c>
      <c r="BI8" s="871">
        <f t="shared" si="58"/>
        <v>847.52365192582022</v>
      </c>
      <c r="BJ8" s="869">
        <f>BI8</f>
        <v>847.52365192582022</v>
      </c>
      <c r="BK8" s="870"/>
      <c r="BL8" s="868">
        <f t="shared" ref="BL8:BW8" si="59">+BL7*$D8</f>
        <v>860.31229461756391</v>
      </c>
      <c r="BM8" s="868">
        <f t="shared" si="59"/>
        <v>868.5418846694796</v>
      </c>
      <c r="BN8" s="868">
        <f t="shared" si="59"/>
        <v>876.7738547486033</v>
      </c>
      <c r="BO8" s="868">
        <f t="shared" si="59"/>
        <v>885.00815533980585</v>
      </c>
      <c r="BP8" s="868">
        <f t="shared" si="59"/>
        <v>893.24473829201111</v>
      </c>
      <c r="BQ8" s="868">
        <f t="shared" si="59"/>
        <v>901.48355677154575</v>
      </c>
      <c r="BR8" s="868">
        <f t="shared" si="59"/>
        <v>909.72456521739139</v>
      </c>
      <c r="BS8" s="868">
        <f t="shared" si="59"/>
        <v>917.96771929824558</v>
      </c>
      <c r="BT8" s="868">
        <f t="shared" si="59"/>
        <v>926.21297587131357</v>
      </c>
      <c r="BU8" s="868">
        <f t="shared" si="59"/>
        <v>934.46029294274308</v>
      </c>
      <c r="BV8" s="868">
        <f t="shared" si="59"/>
        <v>942.7096296296296</v>
      </c>
      <c r="BW8" s="868">
        <f t="shared" si="59"/>
        <v>950.96094612352169</v>
      </c>
      <c r="BX8" s="869">
        <f>BW8</f>
        <v>950.96094612352169</v>
      </c>
      <c r="BY8" s="797"/>
      <c r="BZ8" s="798">
        <f t="shared" ref="BZ8:CK8" si="60">+BZ7*$D8</f>
        <v>959.21420365535243</v>
      </c>
      <c r="CA8" s="798">
        <f t="shared" si="60"/>
        <v>967.469364461738</v>
      </c>
      <c r="CB8" s="798">
        <f t="shared" si="60"/>
        <v>975.72639175257746</v>
      </c>
      <c r="CC8" s="798">
        <f t="shared" si="60"/>
        <v>983.98524967989749</v>
      </c>
      <c r="CD8" s="798">
        <f t="shared" si="60"/>
        <v>992.24590330788817</v>
      </c>
      <c r="CE8" s="798">
        <f t="shared" si="60"/>
        <v>1000.5083185840708</v>
      </c>
      <c r="CF8" s="798">
        <f t="shared" si="60"/>
        <v>1008.7724623115577</v>
      </c>
      <c r="CG8" s="798">
        <f t="shared" si="60"/>
        <v>1017.0383021223469</v>
      </c>
      <c r="CH8" s="798">
        <f t="shared" si="60"/>
        <v>1025.3058064516129</v>
      </c>
      <c r="CI8" s="798">
        <f t="shared" si="60"/>
        <v>1033.574944512947</v>
      </c>
      <c r="CJ8" s="798">
        <f t="shared" si="60"/>
        <v>1041.8456862745097</v>
      </c>
      <c r="CK8" s="798">
        <f t="shared" si="60"/>
        <v>1050.1180024360535</v>
      </c>
      <c r="CL8" s="869">
        <f>CK8</f>
        <v>1050.1180024360535</v>
      </c>
      <c r="CM8" s="797"/>
      <c r="CN8" s="798">
        <f t="shared" ref="CN8:CY8" si="61">+CN7*$D8</f>
        <v>1058.3918644067796</v>
      </c>
      <c r="CO8" s="798">
        <f t="shared" si="61"/>
        <v>1066.6672442839952</v>
      </c>
      <c r="CP8" s="798">
        <f t="shared" si="61"/>
        <v>1074.9441148325359</v>
      </c>
      <c r="CQ8" s="798">
        <f t="shared" si="61"/>
        <v>1083.2224494649226</v>
      </c>
      <c r="CR8" s="798">
        <f t="shared" si="61"/>
        <v>1091.5022222222221</v>
      </c>
      <c r="CS8" s="798">
        <f t="shared" si="61"/>
        <v>1099.7834077555815</v>
      </c>
      <c r="CT8" s="798">
        <f t="shared" si="61"/>
        <v>1108.0659813084112</v>
      </c>
      <c r="CU8" s="798">
        <f t="shared" si="61"/>
        <v>1116.3499186991869</v>
      </c>
      <c r="CV8" s="798">
        <f t="shared" si="61"/>
        <v>1124.6351963048498</v>
      </c>
      <c r="CW8" s="798">
        <f t="shared" si="61"/>
        <v>1132.921791044776</v>
      </c>
      <c r="CX8" s="798">
        <f t="shared" si="61"/>
        <v>1141.2096803652969</v>
      </c>
      <c r="CY8" s="798">
        <f t="shared" si="61"/>
        <v>1149.4988422247447</v>
      </c>
      <c r="CZ8" s="869">
        <f>CY8</f>
        <v>1149.4988422247447</v>
      </c>
    </row>
    <row r="9" spans="1:104" ht="14.5" x14ac:dyDescent="0.35">
      <c r="G9" s="829"/>
      <c r="T9" s="831"/>
      <c r="AH9" s="848"/>
      <c r="AV9" s="873"/>
      <c r="BJ9" s="829"/>
      <c r="BX9" s="850"/>
      <c r="BY9" s="79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M9" s="79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</row>
    <row r="10" spans="1:104" ht="14.5" x14ac:dyDescent="0.35">
      <c r="B10" s="841" t="s">
        <v>344</v>
      </c>
      <c r="C10" s="842"/>
      <c r="D10" s="874">
        <f>152</f>
        <v>152</v>
      </c>
      <c r="E10" s="844"/>
      <c r="F10" s="844"/>
      <c r="G10" s="875"/>
      <c r="H10" s="844"/>
      <c r="I10" s="844"/>
      <c r="J10" s="844"/>
      <c r="K10" s="844"/>
      <c r="L10" s="844"/>
      <c r="M10" s="844"/>
      <c r="N10" s="844"/>
      <c r="O10" s="844"/>
      <c r="P10" s="844"/>
      <c r="Q10" s="844"/>
      <c r="R10" s="844"/>
      <c r="S10" s="844"/>
      <c r="T10" s="876"/>
      <c r="U10" s="832"/>
      <c r="V10" s="877"/>
      <c r="W10" s="877"/>
      <c r="X10" s="877"/>
      <c r="Y10" s="877"/>
      <c r="Z10" s="877"/>
      <c r="AA10" s="877"/>
      <c r="AB10" s="877"/>
      <c r="AC10" s="877"/>
      <c r="AD10" s="877">
        <f>(+AD7*$D10)</f>
        <v>74905.599999999991</v>
      </c>
      <c r="AE10" s="877">
        <f t="shared" ref="AE10:AG11" si="62">+AE7*$D10</f>
        <v>82688</v>
      </c>
      <c r="AF10" s="877">
        <f t="shared" si="62"/>
        <v>88524.800000000017</v>
      </c>
      <c r="AG10" s="877">
        <f t="shared" si="62"/>
        <v>93388.800000000003</v>
      </c>
      <c r="AH10" s="878">
        <f>SUM(V10:AG10)</f>
        <v>339507.20000000001</v>
      </c>
      <c r="AI10" s="832">
        <v>0</v>
      </c>
      <c r="AJ10" s="877">
        <f t="shared" ref="AJ10:AU10" si="63">+AJ7*$D10</f>
        <v>94879.136023477622</v>
      </c>
      <c r="AK10" s="877">
        <f t="shared" si="63"/>
        <v>101162.12030704816</v>
      </c>
      <c r="AL10" s="877">
        <f t="shared" si="63"/>
        <v>109227.13932135729</v>
      </c>
      <c r="AM10" s="877">
        <f t="shared" si="63"/>
        <v>116451.68686605981</v>
      </c>
      <c r="AN10" s="877">
        <f t="shared" si="63"/>
        <v>120532.73388429752</v>
      </c>
      <c r="AO10" s="877">
        <f t="shared" si="63"/>
        <v>124371.68861076345</v>
      </c>
      <c r="AP10" s="877">
        <f t="shared" si="63"/>
        <v>127299.69094269873</v>
      </c>
      <c r="AQ10" s="877">
        <f t="shared" si="63"/>
        <v>130353.21379310344</v>
      </c>
      <c r="AR10" s="877">
        <f t="shared" si="63"/>
        <v>134111.87147076198</v>
      </c>
      <c r="AS10" s="877">
        <f t="shared" si="63"/>
        <v>138807.76826312754</v>
      </c>
      <c r="AT10" s="877">
        <f t="shared" si="63"/>
        <v>143511.25008460236</v>
      </c>
      <c r="AU10" s="877">
        <f t="shared" si="63"/>
        <v>147996.50715474208</v>
      </c>
      <c r="AV10" s="879">
        <f>SUM(AJ10:AU10)</f>
        <v>1488704.8067220401</v>
      </c>
      <c r="AW10" s="832">
        <f>1+AW2</f>
        <v>1.03</v>
      </c>
      <c r="AX10" s="877">
        <f t="shared" ref="AX10:BI10" si="64">+AX7*$D10*$AW10</f>
        <v>155967.60710722097</v>
      </c>
      <c r="AY10" s="877">
        <f t="shared" si="64"/>
        <v>159010.48083756072</v>
      </c>
      <c r="AZ10" s="877">
        <f t="shared" si="64"/>
        <v>162055.70617252396</v>
      </c>
      <c r="BA10" s="877">
        <f t="shared" si="64"/>
        <v>165103.19043194954</v>
      </c>
      <c r="BB10" s="877">
        <f t="shared" si="64"/>
        <v>168152.84574273857</v>
      </c>
      <c r="BC10" s="877">
        <f t="shared" si="64"/>
        <v>171204.5887311828</v>
      </c>
      <c r="BD10" s="877">
        <f t="shared" si="64"/>
        <v>174258.34023862489</v>
      </c>
      <c r="BE10" s="877">
        <f t="shared" si="64"/>
        <v>177314.0250584124</v>
      </c>
      <c r="BF10" s="877">
        <f t="shared" si="64"/>
        <v>180371.57169230765</v>
      </c>
      <c r="BG10" s="877">
        <f t="shared" si="64"/>
        <v>183430.91212469558</v>
      </c>
      <c r="BH10" s="877">
        <f t="shared" si="64"/>
        <v>186491.98161308951</v>
      </c>
      <c r="BI10" s="877">
        <f t="shared" si="64"/>
        <v>189554.71849358061</v>
      </c>
      <c r="BJ10" s="875">
        <f>SUM(AX10:BI10)</f>
        <v>2072915.9682438874</v>
      </c>
      <c r="BK10" s="832">
        <f>AW10+BK2</f>
        <v>1.0580000000000001</v>
      </c>
      <c r="BL10" s="844">
        <f t="shared" ref="BL10:BW10" si="65">+BL7*$D10*$BK10</f>
        <v>197645.68853031166</v>
      </c>
      <c r="BM10" s="844">
        <f t="shared" si="65"/>
        <v>199536.33103572435</v>
      </c>
      <c r="BN10" s="844">
        <f t="shared" si="65"/>
        <v>201427.52032178771</v>
      </c>
      <c r="BO10" s="844">
        <f t="shared" si="65"/>
        <v>203319.24501303746</v>
      </c>
      <c r="BP10" s="844">
        <f t="shared" si="65"/>
        <v>205211.49404738296</v>
      </c>
      <c r="BQ10" s="844">
        <f t="shared" si="65"/>
        <v>207104.2566653899</v>
      </c>
      <c r="BR10" s="844">
        <f t="shared" si="65"/>
        <v>208997.52240000005</v>
      </c>
      <c r="BS10" s="844">
        <f t="shared" si="65"/>
        <v>210891.28106666671</v>
      </c>
      <c r="BT10" s="844">
        <f t="shared" si="65"/>
        <v>212785.5227538874</v>
      </c>
      <c r="BU10" s="844">
        <f t="shared" si="65"/>
        <v>214680.23781411457</v>
      </c>
      <c r="BV10" s="844">
        <f t="shared" si="65"/>
        <v>216575.41685502647</v>
      </c>
      <c r="BW10" s="844">
        <f t="shared" si="65"/>
        <v>218471.05073114324</v>
      </c>
      <c r="BX10" s="880">
        <f>SUM(BL10:BW10)</f>
        <v>2496645.5672344728</v>
      </c>
      <c r="BY10" s="794">
        <f>BK10+BY2</f>
        <v>1.0860000000000001</v>
      </c>
      <c r="BZ10" s="799">
        <f t="shared" ref="BZ10:CK10" si="66">+BZ7*$D10*$BK10</f>
        <v>220367.13053577024</v>
      </c>
      <c r="CA10" s="799">
        <f t="shared" si="66"/>
        <v>222263.64759325553</v>
      </c>
      <c r="CB10" s="799">
        <f t="shared" si="66"/>
        <v>224160.59345154645</v>
      </c>
      <c r="CC10" s="799">
        <f t="shared" si="66"/>
        <v>226057.95987503201</v>
      </c>
      <c r="CD10" s="799">
        <f t="shared" si="66"/>
        <v>227955.7388376591</v>
      </c>
      <c r="CE10" s="799">
        <f t="shared" si="66"/>
        <v>229853.92251630849</v>
      </c>
      <c r="CF10" s="799">
        <f t="shared" si="66"/>
        <v>231752.5032844221</v>
      </c>
      <c r="CG10" s="799">
        <f t="shared" si="66"/>
        <v>233651.47370586765</v>
      </c>
      <c r="CH10" s="799">
        <f t="shared" si="66"/>
        <v>235550.82652903229</v>
      </c>
      <c r="CI10" s="799">
        <f t="shared" si="66"/>
        <v>237450.55468113444</v>
      </c>
      <c r="CJ10" s="799">
        <f t="shared" si="66"/>
        <v>239350.65126274509</v>
      </c>
      <c r="CK10" s="799">
        <f t="shared" si="66"/>
        <v>241251.10954250913</v>
      </c>
      <c r="CL10" s="845">
        <f>SUM(BZ10:CK10)</f>
        <v>2769666.1118152831</v>
      </c>
      <c r="CM10" s="794">
        <f>BY10+CM2</f>
        <v>1.1140000000000001</v>
      </c>
      <c r="CN10" s="799">
        <f t="shared" ref="CN10:CY10" si="67">+CN7*$D10*$BK10</f>
        <v>243151.92295205811</v>
      </c>
      <c r="CO10" s="799">
        <f t="shared" si="67"/>
        <v>245053.08508110713</v>
      </c>
      <c r="CP10" s="799">
        <f t="shared" si="67"/>
        <v>246954.58967272728</v>
      </c>
      <c r="CQ10" s="799">
        <f t="shared" si="67"/>
        <v>248856.43061878721</v>
      </c>
      <c r="CR10" s="799">
        <f t="shared" si="67"/>
        <v>250758.60195555552</v>
      </c>
      <c r="CS10" s="799">
        <f t="shared" si="67"/>
        <v>252661.09785945946</v>
      </c>
      <c r="CT10" s="799">
        <f t="shared" si="67"/>
        <v>254563.91264299068</v>
      </c>
      <c r="CU10" s="799">
        <f t="shared" si="67"/>
        <v>256467.04075075497</v>
      </c>
      <c r="CV10" s="799">
        <f t="shared" si="67"/>
        <v>258370.47675565819</v>
      </c>
      <c r="CW10" s="799">
        <f t="shared" si="67"/>
        <v>260274.21535522389</v>
      </c>
      <c r="CX10" s="799">
        <f t="shared" si="67"/>
        <v>262178.25136803655</v>
      </c>
      <c r="CY10" s="799">
        <f t="shared" si="67"/>
        <v>264082.57973030652</v>
      </c>
      <c r="CZ10" s="845">
        <f>SUM(CN10:CY10)</f>
        <v>3043372.2047426654</v>
      </c>
    </row>
    <row r="11" spans="1:104" ht="14.5" x14ac:dyDescent="0.35">
      <c r="B11" s="861" t="s">
        <v>345</v>
      </c>
      <c r="D11" s="881">
        <v>20</v>
      </c>
      <c r="E11" s="882"/>
      <c r="F11" s="882"/>
      <c r="G11" s="829"/>
      <c r="H11" s="882"/>
      <c r="I11" s="882"/>
      <c r="J11" s="882"/>
      <c r="K11" s="882"/>
      <c r="L11" s="882"/>
      <c r="M11" s="882"/>
      <c r="N11" s="882"/>
      <c r="O11" s="882"/>
      <c r="P11" s="882"/>
      <c r="Q11" s="882"/>
      <c r="R11" s="882"/>
      <c r="S11" s="882"/>
      <c r="T11" s="831"/>
      <c r="V11" s="883"/>
      <c r="W11" s="883"/>
      <c r="X11" s="883"/>
      <c r="Y11" s="883"/>
      <c r="Z11" s="883"/>
      <c r="AA11" s="883"/>
      <c r="AB11" s="883"/>
      <c r="AC11" s="883"/>
      <c r="AD11" s="883">
        <f>+AD8*$D11</f>
        <v>6899.1999999999989</v>
      </c>
      <c r="AE11" s="883">
        <f t="shared" si="62"/>
        <v>7615.9999999999991</v>
      </c>
      <c r="AF11" s="883">
        <f t="shared" si="62"/>
        <v>8153.6000000000013</v>
      </c>
      <c r="AG11" s="883">
        <f t="shared" si="62"/>
        <v>8601.6</v>
      </c>
      <c r="AH11" s="848">
        <f>SUM(V11:AG11)</f>
        <v>31270.400000000001</v>
      </c>
      <c r="AJ11" s="883">
        <f t="shared" ref="AJ11:AU11" si="68">+AJ8*$D11</f>
        <v>8738.8677916360957</v>
      </c>
      <c r="AK11" s="883">
        <f t="shared" si="68"/>
        <v>9317.5637124912773</v>
      </c>
      <c r="AL11" s="883">
        <f t="shared" si="68"/>
        <v>10060.394411177644</v>
      </c>
      <c r="AM11" s="883">
        <f t="shared" si="68"/>
        <v>10725.813263979195</v>
      </c>
      <c r="AN11" s="883">
        <f t="shared" si="68"/>
        <v>11101.699173553718</v>
      </c>
      <c r="AO11" s="883">
        <f t="shared" si="68"/>
        <v>11455.287108886107</v>
      </c>
      <c r="AP11" s="883">
        <f t="shared" si="68"/>
        <v>11724.971534195935</v>
      </c>
      <c r="AQ11" s="883">
        <f t="shared" si="68"/>
        <v>12006.217059891105</v>
      </c>
      <c r="AR11" s="883">
        <f t="shared" si="68"/>
        <v>12352.409214412284</v>
      </c>
      <c r="AS11" s="883">
        <f t="shared" si="68"/>
        <v>12784.92602423543</v>
      </c>
      <c r="AT11" s="883">
        <f t="shared" si="68"/>
        <v>13218.141455160745</v>
      </c>
      <c r="AU11" s="883">
        <f t="shared" si="68"/>
        <v>13631.25723793677</v>
      </c>
      <c r="AV11" s="873">
        <f>SUM(AJ11:AU11)</f>
        <v>137117.54798755632</v>
      </c>
      <c r="AX11" s="883">
        <f t="shared" ref="AX11:BI11" si="69">+AX8*$D11*$AW10</f>
        <v>14365.437496717723</v>
      </c>
      <c r="AY11" s="883">
        <f t="shared" si="69"/>
        <v>14645.702182406909</v>
      </c>
      <c r="AZ11" s="883">
        <f t="shared" si="69"/>
        <v>14926.183463258785</v>
      </c>
      <c r="BA11" s="883">
        <f t="shared" si="69"/>
        <v>15206.87280294272</v>
      </c>
      <c r="BB11" s="883">
        <f t="shared" si="69"/>
        <v>15487.762107883816</v>
      </c>
      <c r="BC11" s="883">
        <f t="shared" si="69"/>
        <v>15768.843698924729</v>
      </c>
      <c r="BD11" s="883">
        <f t="shared" si="69"/>
        <v>16050.110285136501</v>
      </c>
      <c r="BE11" s="883">
        <f t="shared" si="69"/>
        <v>16331.554939590615</v>
      </c>
      <c r="BF11" s="883">
        <f t="shared" si="69"/>
        <v>16613.171076923074</v>
      </c>
      <c r="BG11" s="883">
        <f t="shared" si="69"/>
        <v>16894.952432537746</v>
      </c>
      <c r="BH11" s="883">
        <f t="shared" si="69"/>
        <v>17176.893043310876</v>
      </c>
      <c r="BI11" s="883">
        <f t="shared" si="69"/>
        <v>17458.987229671897</v>
      </c>
      <c r="BJ11" s="829">
        <f>SUM(AX11:BI11)</f>
        <v>190926.4707593054</v>
      </c>
      <c r="BL11" s="882">
        <f t="shared" ref="BL11:BW11" si="70">+BL8*$D11*$BK10</f>
        <v>18204.208154107655</v>
      </c>
      <c r="BM11" s="882">
        <f t="shared" si="70"/>
        <v>18378.34627960619</v>
      </c>
      <c r="BN11" s="882">
        <f t="shared" si="70"/>
        <v>18552.534766480447</v>
      </c>
      <c r="BO11" s="882">
        <f t="shared" si="70"/>
        <v>18726.772566990294</v>
      </c>
      <c r="BP11" s="882">
        <f t="shared" si="70"/>
        <v>18901.058662258954</v>
      </c>
      <c r="BQ11" s="882">
        <f t="shared" si="70"/>
        <v>19075.392061285911</v>
      </c>
      <c r="BR11" s="882">
        <f t="shared" si="70"/>
        <v>19249.771800000002</v>
      </c>
      <c r="BS11" s="882">
        <f t="shared" si="70"/>
        <v>19424.196940350877</v>
      </c>
      <c r="BT11" s="882">
        <f t="shared" si="70"/>
        <v>19598.666569436995</v>
      </c>
      <c r="BU11" s="882">
        <f t="shared" si="70"/>
        <v>19773.179798668443</v>
      </c>
      <c r="BV11" s="882">
        <f t="shared" si="70"/>
        <v>19947.735762962966</v>
      </c>
      <c r="BW11" s="882">
        <f t="shared" si="70"/>
        <v>20122.33361997372</v>
      </c>
      <c r="BX11" s="850">
        <f>SUM(BL11:BW11)</f>
        <v>229954.1969821224</v>
      </c>
      <c r="BY11" s="793"/>
      <c r="BZ11" s="800">
        <f t="shared" ref="BZ11:CK11" si="71">+BZ8*$D11*$BK10</f>
        <v>20296.972549347262</v>
      </c>
      <c r="CA11" s="800">
        <f t="shared" si="71"/>
        <v>20471.651752010377</v>
      </c>
      <c r="CB11" s="800">
        <f t="shared" si="71"/>
        <v>20646.370449484541</v>
      </c>
      <c r="CC11" s="800">
        <f t="shared" si="71"/>
        <v>20821.127883226629</v>
      </c>
      <c r="CD11" s="800">
        <f t="shared" si="71"/>
        <v>20995.923313994914</v>
      </c>
      <c r="CE11" s="800">
        <f t="shared" si="71"/>
        <v>21170.756021238936</v>
      </c>
      <c r="CF11" s="800">
        <f t="shared" si="71"/>
        <v>21345.625302512562</v>
      </c>
      <c r="CG11" s="800">
        <f t="shared" si="71"/>
        <v>21520.53047290886</v>
      </c>
      <c r="CH11" s="800">
        <f t="shared" si="71"/>
        <v>21695.470864516126</v>
      </c>
      <c r="CI11" s="800">
        <f t="shared" si="71"/>
        <v>21870.445825893959</v>
      </c>
      <c r="CJ11" s="800">
        <f t="shared" si="71"/>
        <v>22045.454721568625</v>
      </c>
      <c r="CK11" s="800">
        <f t="shared" si="71"/>
        <v>22220.496931546895</v>
      </c>
      <c r="CL11" s="851">
        <f>SUM(BZ11:CK11)</f>
        <v>255100.82608824968</v>
      </c>
      <c r="CM11" s="793"/>
      <c r="CN11" s="800">
        <f t="shared" ref="CN11:CY11" si="72">+CN8*$D11*$BK10</f>
        <v>22395.57185084746</v>
      </c>
      <c r="CO11" s="800">
        <f t="shared" si="72"/>
        <v>22570.678889049341</v>
      </c>
      <c r="CP11" s="800">
        <f t="shared" si="72"/>
        <v>22745.817469856462</v>
      </c>
      <c r="CQ11" s="800">
        <f t="shared" si="72"/>
        <v>22920.987030677763</v>
      </c>
      <c r="CR11" s="800">
        <f t="shared" si="72"/>
        <v>23096.187022222224</v>
      </c>
      <c r="CS11" s="800">
        <f t="shared" si="72"/>
        <v>23271.416908108105</v>
      </c>
      <c r="CT11" s="800">
        <f t="shared" si="72"/>
        <v>23446.676164485983</v>
      </c>
      <c r="CU11" s="800">
        <f t="shared" si="72"/>
        <v>23621.964279674794</v>
      </c>
      <c r="CV11" s="800">
        <f t="shared" si="72"/>
        <v>23797.280753810624</v>
      </c>
      <c r="CW11" s="800">
        <f t="shared" si="72"/>
        <v>23972.625098507462</v>
      </c>
      <c r="CX11" s="800">
        <f t="shared" si="72"/>
        <v>24147.996836529681</v>
      </c>
      <c r="CY11" s="800">
        <f t="shared" si="72"/>
        <v>24323.395501475599</v>
      </c>
      <c r="CZ11" s="851">
        <f>SUM(CN11:CY11)</f>
        <v>280310.59780524555</v>
      </c>
    </row>
    <row r="12" spans="1:104" ht="14.5" x14ac:dyDescent="0.35">
      <c r="B12" s="884" t="s">
        <v>346</v>
      </c>
      <c r="C12" s="885"/>
      <c r="D12" s="886"/>
      <c r="E12" s="887"/>
      <c r="F12" s="887"/>
      <c r="G12" s="888"/>
      <c r="H12" s="887"/>
      <c r="I12" s="887"/>
      <c r="J12" s="887"/>
      <c r="K12" s="887"/>
      <c r="L12" s="887"/>
      <c r="M12" s="887"/>
      <c r="N12" s="887"/>
      <c r="O12" s="887"/>
      <c r="P12" s="887"/>
      <c r="Q12" s="887"/>
      <c r="R12" s="887"/>
      <c r="S12" s="887"/>
      <c r="T12" s="889"/>
      <c r="U12" s="890"/>
      <c r="V12" s="891">
        <v>0.99</v>
      </c>
      <c r="W12" s="891">
        <v>0.99</v>
      </c>
      <c r="X12" s="891">
        <v>1.02</v>
      </c>
      <c r="Y12" s="891">
        <v>1.008</v>
      </c>
      <c r="Z12" s="891">
        <v>0.99</v>
      </c>
      <c r="AA12" s="891">
        <v>0.9</v>
      </c>
      <c r="AB12" s="891">
        <v>0.9</v>
      </c>
      <c r="AC12" s="891">
        <v>0.99</v>
      </c>
      <c r="AD12" s="891">
        <v>0.99</v>
      </c>
      <c r="AE12" s="891">
        <v>1.032</v>
      </c>
      <c r="AF12" s="891">
        <v>1.2</v>
      </c>
      <c r="AG12" s="891">
        <v>0.98</v>
      </c>
      <c r="AH12" s="892"/>
      <c r="AI12" s="890"/>
      <c r="AJ12" s="891">
        <v>0.97</v>
      </c>
      <c r="AK12" s="891">
        <v>1.02</v>
      </c>
      <c r="AL12" s="891">
        <v>0.99</v>
      </c>
      <c r="AM12" s="891">
        <v>1.008</v>
      </c>
      <c r="AN12" s="891">
        <v>0.99</v>
      </c>
      <c r="AO12" s="891">
        <v>0.92</v>
      </c>
      <c r="AP12" s="891">
        <v>0.91</v>
      </c>
      <c r="AQ12" s="891">
        <v>0.99</v>
      </c>
      <c r="AR12" s="891">
        <v>0.99</v>
      </c>
      <c r="AS12" s="891">
        <v>1.032</v>
      </c>
      <c r="AT12" s="891">
        <v>1.2</v>
      </c>
      <c r="AU12" s="891">
        <v>0.98</v>
      </c>
      <c r="AV12" s="893"/>
      <c r="AW12" s="890"/>
      <c r="AX12" s="891">
        <v>0.97</v>
      </c>
      <c r="AY12" s="891">
        <v>0.99</v>
      </c>
      <c r="AZ12" s="891">
        <v>1.02</v>
      </c>
      <c r="BA12" s="891">
        <v>1.008</v>
      </c>
      <c r="BB12" s="891">
        <v>0.99</v>
      </c>
      <c r="BC12" s="891">
        <v>0.92</v>
      </c>
      <c r="BD12" s="891">
        <v>0.91</v>
      </c>
      <c r="BE12" s="891">
        <v>0.99</v>
      </c>
      <c r="BF12" s="891">
        <v>0.99</v>
      </c>
      <c r="BG12" s="891">
        <v>1.032</v>
      </c>
      <c r="BH12" s="891">
        <v>1.2</v>
      </c>
      <c r="BI12" s="891">
        <v>0.98</v>
      </c>
      <c r="BJ12" s="888"/>
      <c r="BK12" s="890"/>
      <c r="BL12" s="891">
        <v>0.97</v>
      </c>
      <c r="BM12" s="891">
        <v>0.99</v>
      </c>
      <c r="BN12" s="891">
        <v>1.02</v>
      </c>
      <c r="BO12" s="891">
        <v>1.008</v>
      </c>
      <c r="BP12" s="891">
        <v>0.99</v>
      </c>
      <c r="BQ12" s="891">
        <v>0.92</v>
      </c>
      <c r="BR12" s="891">
        <v>0.91</v>
      </c>
      <c r="BS12" s="891">
        <v>0.99</v>
      </c>
      <c r="BT12" s="891">
        <v>0.99</v>
      </c>
      <c r="BU12" s="891">
        <v>1.032</v>
      </c>
      <c r="BV12" s="891">
        <v>1.2</v>
      </c>
      <c r="BW12" s="891">
        <v>0.98</v>
      </c>
      <c r="BX12" s="894"/>
      <c r="BY12" s="801"/>
      <c r="BZ12" s="802">
        <v>0.97</v>
      </c>
      <c r="CA12" s="802">
        <v>0.99</v>
      </c>
      <c r="CB12" s="802">
        <v>1.02</v>
      </c>
      <c r="CC12" s="802">
        <v>1.008</v>
      </c>
      <c r="CD12" s="802">
        <v>0.99</v>
      </c>
      <c r="CE12" s="802">
        <v>0.92</v>
      </c>
      <c r="CF12" s="802">
        <v>0.91</v>
      </c>
      <c r="CG12" s="802">
        <v>0.99</v>
      </c>
      <c r="CH12" s="802">
        <v>0.99</v>
      </c>
      <c r="CI12" s="802">
        <v>1.032</v>
      </c>
      <c r="CJ12" s="802">
        <v>1.2</v>
      </c>
      <c r="CK12" s="802">
        <v>0.98</v>
      </c>
      <c r="CL12" s="1010"/>
      <c r="CM12" s="801"/>
      <c r="CN12" s="802">
        <v>0.97</v>
      </c>
      <c r="CO12" s="802">
        <v>0.99</v>
      </c>
      <c r="CP12" s="802">
        <v>1.02</v>
      </c>
      <c r="CQ12" s="802">
        <v>1.008</v>
      </c>
      <c r="CR12" s="802">
        <v>0.99</v>
      </c>
      <c r="CS12" s="802">
        <v>0.92</v>
      </c>
      <c r="CT12" s="802">
        <v>0.91</v>
      </c>
      <c r="CU12" s="802">
        <v>0.99</v>
      </c>
      <c r="CV12" s="802">
        <v>0.99</v>
      </c>
      <c r="CW12" s="802">
        <v>1.032</v>
      </c>
      <c r="CX12" s="802">
        <v>1.2</v>
      </c>
      <c r="CY12" s="802">
        <v>0.98</v>
      </c>
      <c r="CZ12" s="1010"/>
    </row>
    <row r="13" spans="1:104" ht="14.5" x14ac:dyDescent="0.35">
      <c r="A13" s="825" t="s">
        <v>347</v>
      </c>
      <c r="B13" s="895" t="s">
        <v>348</v>
      </c>
      <c r="C13" s="896"/>
      <c r="D13" s="897"/>
      <c r="E13" s="898"/>
      <c r="F13" s="898"/>
      <c r="G13" s="829"/>
      <c r="H13" s="898"/>
      <c r="I13" s="898"/>
      <c r="J13" s="898"/>
      <c r="K13" s="898"/>
      <c r="L13" s="898"/>
      <c r="M13" s="898"/>
      <c r="N13" s="898"/>
      <c r="O13" s="898"/>
      <c r="P13" s="898"/>
      <c r="Q13" s="898"/>
      <c r="R13" s="898"/>
      <c r="S13" s="898"/>
      <c r="T13" s="831"/>
      <c r="V13" s="899"/>
      <c r="W13" s="899"/>
      <c r="X13" s="899"/>
      <c r="Y13" s="899"/>
      <c r="Z13" s="899"/>
      <c r="AA13" s="899"/>
      <c r="AB13" s="899"/>
      <c r="AC13" s="899"/>
      <c r="AD13" s="899">
        <f>SUM(AD10:AD11)*AD12</f>
        <v>80986.751999999993</v>
      </c>
      <c r="AE13" s="899">
        <f>SUM(AE10:AE11)*AE12</f>
        <v>93193.728000000003</v>
      </c>
      <c r="AF13" s="899">
        <f>SUM(AF10:AF11)*AF12</f>
        <v>116014.08000000003</v>
      </c>
      <c r="AG13" s="899">
        <f>SUM(AG10:AG11)*AG12</f>
        <v>99950.592000000004</v>
      </c>
      <c r="AH13" s="848">
        <f>SUM(V13:AG13)</f>
        <v>390145.152</v>
      </c>
      <c r="AJ13" s="899">
        <f t="shared" ref="AJ13:AU13" si="73">SUM(AJ10:AJ11)*AJ12</f>
        <v>100509.4637006603</v>
      </c>
      <c r="AK13" s="899">
        <f t="shared" si="73"/>
        <v>112689.27769993023</v>
      </c>
      <c r="AL13" s="899">
        <f t="shared" si="73"/>
        <v>118094.65839520958</v>
      </c>
      <c r="AM13" s="899">
        <f t="shared" si="73"/>
        <v>128194.92013107931</v>
      </c>
      <c r="AN13" s="899">
        <f t="shared" si="73"/>
        <v>130318.08872727273</v>
      </c>
      <c r="AO13" s="899">
        <f t="shared" si="73"/>
        <v>124960.81766207759</v>
      </c>
      <c r="AP13" s="899">
        <f t="shared" si="73"/>
        <v>126512.44285397413</v>
      </c>
      <c r="AQ13" s="899">
        <f t="shared" si="73"/>
        <v>140935.8365444646</v>
      </c>
      <c r="AR13" s="899">
        <f t="shared" si="73"/>
        <v>144999.63787832254</v>
      </c>
      <c r="AS13" s="899">
        <f t="shared" si="73"/>
        <v>156443.66050455859</v>
      </c>
      <c r="AT13" s="899">
        <f t="shared" si="73"/>
        <v>188075.26984771571</v>
      </c>
      <c r="AU13" s="899">
        <f t="shared" si="73"/>
        <v>158395.20910482528</v>
      </c>
      <c r="AV13" s="873">
        <f>SUM(AJ13:AU13)</f>
        <v>1630129.2830500908</v>
      </c>
      <c r="AX13" s="899">
        <f t="shared" ref="AX13:BI13" si="74">SUM(AX10:AX11)*AX12</f>
        <v>165223.05326582055</v>
      </c>
      <c r="AY13" s="899">
        <f t="shared" si="74"/>
        <v>171919.62118976796</v>
      </c>
      <c r="AZ13" s="899">
        <f t="shared" si="74"/>
        <v>180521.5274284984</v>
      </c>
      <c r="BA13" s="899">
        <f t="shared" si="74"/>
        <v>181752.54374077142</v>
      </c>
      <c r="BB13" s="899">
        <f t="shared" si="74"/>
        <v>181804.20177211615</v>
      </c>
      <c r="BC13" s="899">
        <f t="shared" si="74"/>
        <v>172015.55783569894</v>
      </c>
      <c r="BD13" s="899">
        <f t="shared" si="74"/>
        <v>173180.68997662287</v>
      </c>
      <c r="BE13" s="899">
        <f t="shared" si="74"/>
        <v>191709.124198023</v>
      </c>
      <c r="BF13" s="899">
        <f t="shared" si="74"/>
        <v>195014.89534153842</v>
      </c>
      <c r="BG13" s="899">
        <f t="shared" si="74"/>
        <v>206736.29222306478</v>
      </c>
      <c r="BH13" s="899">
        <f t="shared" si="74"/>
        <v>244402.64958768044</v>
      </c>
      <c r="BI13" s="899">
        <f t="shared" si="74"/>
        <v>202873.43160878745</v>
      </c>
      <c r="BJ13" s="829">
        <f>SUM(AX13:BI13)</f>
        <v>2267153.5881683901</v>
      </c>
      <c r="BL13" s="899">
        <f t="shared" ref="BL13:BV13" si="75">SUM(BL10:BL11)*BL12</f>
        <v>209374.39978388671</v>
      </c>
      <c r="BM13" s="899">
        <f t="shared" si="75"/>
        <v>215735.53054217724</v>
      </c>
      <c r="BN13" s="899">
        <f t="shared" si="75"/>
        <v>224379.65619003354</v>
      </c>
      <c r="BO13" s="899">
        <f t="shared" si="75"/>
        <v>223822.38572066798</v>
      </c>
      <c r="BP13" s="899">
        <f t="shared" si="75"/>
        <v>221871.42718254551</v>
      </c>
      <c r="BQ13" s="899">
        <f t="shared" si="75"/>
        <v>208085.27682854174</v>
      </c>
      <c r="BR13" s="899">
        <f t="shared" si="75"/>
        <v>207705.03772200007</v>
      </c>
      <c r="BS13" s="899">
        <f t="shared" si="75"/>
        <v>228012.3232269474</v>
      </c>
      <c r="BT13" s="899">
        <f t="shared" si="75"/>
        <v>230060.34743009115</v>
      </c>
      <c r="BU13" s="899">
        <f t="shared" si="75"/>
        <v>241955.9269763921</v>
      </c>
      <c r="BV13" s="899">
        <f t="shared" si="75"/>
        <v>283827.78314158728</v>
      </c>
      <c r="BW13" s="899">
        <f>SUM(BW10:BW11)*BW12</f>
        <v>233821.51666409461</v>
      </c>
      <c r="BX13" s="850">
        <f>SUM(BL13:BW13)</f>
        <v>2728651.6114089657</v>
      </c>
      <c r="BY13" s="793"/>
      <c r="BZ13" s="24">
        <f t="shared" ref="BZ13:CK13" si="76">SUM(BZ10:BZ11)*BZ12</f>
        <v>233444.17999256396</v>
      </c>
      <c r="CA13" s="24">
        <f t="shared" si="76"/>
        <v>240307.94635181324</v>
      </c>
      <c r="CB13" s="24">
        <f t="shared" si="76"/>
        <v>249703.1031790516</v>
      </c>
      <c r="CC13" s="24">
        <f t="shared" si="76"/>
        <v>248854.12046032472</v>
      </c>
      <c r="CD13" s="24">
        <f t="shared" si="76"/>
        <v>246462.14553013747</v>
      </c>
      <c r="CE13" s="24">
        <f t="shared" si="76"/>
        <v>230942.70425454364</v>
      </c>
      <c r="CF13" s="24">
        <f t="shared" si="76"/>
        <v>230319.29701411055</v>
      </c>
      <c r="CG13" s="24">
        <f t="shared" si="76"/>
        <v>252620.28413698875</v>
      </c>
      <c r="CH13" s="24">
        <f t="shared" si="76"/>
        <v>254673.83441961292</v>
      </c>
      <c r="CI13" s="24">
        <f t="shared" si="76"/>
        <v>267619.27252325328</v>
      </c>
      <c r="CJ13" s="24">
        <f t="shared" si="76"/>
        <v>313675.32718117646</v>
      </c>
      <c r="CK13" s="24">
        <f t="shared" si="76"/>
        <v>258202.17434457489</v>
      </c>
      <c r="CL13" s="851">
        <f>SUM(BZ13:CK13)</f>
        <v>3026824.389388151</v>
      </c>
      <c r="CM13" s="793"/>
      <c r="CN13" s="24">
        <f t="shared" ref="CN13:CY13" si="77">SUM(CN10:CN11)*CN12</f>
        <v>257581.06995881841</v>
      </c>
      <c r="CO13" s="24">
        <f t="shared" si="77"/>
        <v>264947.52633045492</v>
      </c>
      <c r="CP13" s="24">
        <f t="shared" si="77"/>
        <v>275094.41528543545</v>
      </c>
      <c r="CQ13" s="24">
        <f t="shared" si="77"/>
        <v>273951.63699066069</v>
      </c>
      <c r="CR13" s="24">
        <f t="shared" si="77"/>
        <v>271116.24108799995</v>
      </c>
      <c r="CS13" s="24">
        <f t="shared" si="77"/>
        <v>253857.91358616218</v>
      </c>
      <c r="CT13" s="24">
        <f t="shared" si="77"/>
        <v>252989.6358148038</v>
      </c>
      <c r="CU13" s="24">
        <f t="shared" si="77"/>
        <v>277288.11498012545</v>
      </c>
      <c r="CV13" s="24">
        <f t="shared" si="77"/>
        <v>279346.07993437414</v>
      </c>
      <c r="CW13" s="24">
        <f t="shared" si="77"/>
        <v>293342.73934825079</v>
      </c>
      <c r="CX13" s="24">
        <f t="shared" si="77"/>
        <v>343591.49784547946</v>
      </c>
      <c r="CY13" s="24">
        <f t="shared" si="77"/>
        <v>282637.8557271465</v>
      </c>
      <c r="CZ13" s="851">
        <f>SUM(CN13:CY13)</f>
        <v>3325744.7268897118</v>
      </c>
    </row>
    <row r="14" spans="1:104" s="912" customFormat="1" ht="14.5" x14ac:dyDescent="0.35">
      <c r="A14" s="900"/>
      <c r="B14" s="901" t="s">
        <v>349</v>
      </c>
      <c r="C14" s="902"/>
      <c r="D14" s="903">
        <v>0.114</v>
      </c>
      <c r="E14" s="904"/>
      <c r="F14" s="904"/>
      <c r="G14" s="905"/>
      <c r="H14" s="904"/>
      <c r="I14" s="904"/>
      <c r="J14" s="904"/>
      <c r="K14" s="904"/>
      <c r="L14" s="904"/>
      <c r="M14" s="904"/>
      <c r="N14" s="904"/>
      <c r="O14" s="904"/>
      <c r="P14" s="904"/>
      <c r="Q14" s="904"/>
      <c r="R14" s="904"/>
      <c r="S14" s="904"/>
      <c r="T14" s="906"/>
      <c r="U14" s="907"/>
      <c r="V14" s="908"/>
      <c r="W14" s="908"/>
      <c r="X14" s="908"/>
      <c r="Y14" s="908"/>
      <c r="Z14" s="908"/>
      <c r="AA14" s="908"/>
      <c r="AB14" s="908"/>
      <c r="AC14" s="908"/>
      <c r="AD14" s="908">
        <f>+AD13*$D14</f>
        <v>9232.4897279999986</v>
      </c>
      <c r="AE14" s="908">
        <f>+AE13*$D14</f>
        <v>10624.084992</v>
      </c>
      <c r="AF14" s="908">
        <f>+AF13*$D14</f>
        <v>13225.605120000004</v>
      </c>
      <c r="AG14" s="908">
        <f>+AG13*$D14</f>
        <v>11394.367488000002</v>
      </c>
      <c r="AH14" s="909">
        <f>SUM(V14:AG14)</f>
        <v>44476.547328000001</v>
      </c>
      <c r="AI14" s="907"/>
      <c r="AJ14" s="908">
        <f t="shared" ref="AJ14:AU14" si="78">+AJ13*$D14</f>
        <v>11458.078861875274</v>
      </c>
      <c r="AK14" s="908">
        <f t="shared" si="78"/>
        <v>12846.577657792046</v>
      </c>
      <c r="AL14" s="908">
        <f t="shared" si="78"/>
        <v>13462.791057053893</v>
      </c>
      <c r="AM14" s="908">
        <f t="shared" si="78"/>
        <v>14614.220894943042</v>
      </c>
      <c r="AN14" s="908">
        <f t="shared" si="78"/>
        <v>14856.262114909092</v>
      </c>
      <c r="AO14" s="908">
        <f t="shared" si="78"/>
        <v>14245.533213476847</v>
      </c>
      <c r="AP14" s="908">
        <f t="shared" si="78"/>
        <v>14422.418485353051</v>
      </c>
      <c r="AQ14" s="908">
        <f t="shared" si="78"/>
        <v>16066.685366068965</v>
      </c>
      <c r="AR14" s="908">
        <f t="shared" si="78"/>
        <v>16529.958718128772</v>
      </c>
      <c r="AS14" s="908">
        <f t="shared" si="78"/>
        <v>17834.577297519681</v>
      </c>
      <c r="AT14" s="908">
        <f t="shared" si="78"/>
        <v>21440.580762639591</v>
      </c>
      <c r="AU14" s="908">
        <f t="shared" si="78"/>
        <v>18057.053837950083</v>
      </c>
      <c r="AV14" s="910">
        <f>SUM(AJ14:AU14)</f>
        <v>185834.73826771035</v>
      </c>
      <c r="AW14" s="907"/>
      <c r="AX14" s="908">
        <f t="shared" ref="AX14:BI14" si="79">+AX13*$D14</f>
        <v>18835.428072303544</v>
      </c>
      <c r="AY14" s="908">
        <f t="shared" si="79"/>
        <v>19598.836815633549</v>
      </c>
      <c r="AZ14" s="908">
        <f t="shared" si="79"/>
        <v>20579.454126848817</v>
      </c>
      <c r="BA14" s="908">
        <f t="shared" si="79"/>
        <v>20719.789986447944</v>
      </c>
      <c r="BB14" s="908">
        <f t="shared" si="79"/>
        <v>20725.679002021243</v>
      </c>
      <c r="BC14" s="908">
        <f t="shared" si="79"/>
        <v>19609.773593269681</v>
      </c>
      <c r="BD14" s="908">
        <f t="shared" si="79"/>
        <v>19742.598657335009</v>
      </c>
      <c r="BE14" s="908">
        <f t="shared" si="79"/>
        <v>21854.840158574621</v>
      </c>
      <c r="BF14" s="908">
        <f t="shared" si="79"/>
        <v>22231.69806893538</v>
      </c>
      <c r="BG14" s="908">
        <f t="shared" si="79"/>
        <v>23567.937313429386</v>
      </c>
      <c r="BH14" s="908">
        <f t="shared" si="79"/>
        <v>27861.902052995571</v>
      </c>
      <c r="BI14" s="908">
        <f t="shared" si="79"/>
        <v>23127.571203401771</v>
      </c>
      <c r="BJ14" s="905">
        <f>SUM(AX14:BI14)</f>
        <v>258455.50905119651</v>
      </c>
      <c r="BK14" s="907"/>
      <c r="BL14" s="904">
        <f t="shared" ref="BL14:BW14" si="80">+BL13*$D14</f>
        <v>23868.681575363087</v>
      </c>
      <c r="BM14" s="904">
        <f t="shared" si="80"/>
        <v>24593.850481808207</v>
      </c>
      <c r="BN14" s="904">
        <f t="shared" si="80"/>
        <v>25579.280805663824</v>
      </c>
      <c r="BO14" s="904">
        <f t="shared" si="80"/>
        <v>25515.751972156151</v>
      </c>
      <c r="BP14" s="904">
        <f t="shared" si="80"/>
        <v>25293.342698810189</v>
      </c>
      <c r="BQ14" s="904">
        <f t="shared" si="80"/>
        <v>23721.721558453759</v>
      </c>
      <c r="BR14" s="904">
        <f t="shared" si="80"/>
        <v>23678.374300308009</v>
      </c>
      <c r="BS14" s="904">
        <f t="shared" si="80"/>
        <v>25993.404847872003</v>
      </c>
      <c r="BT14" s="904">
        <f t="shared" si="80"/>
        <v>26226.879607030391</v>
      </c>
      <c r="BU14" s="904">
        <f t="shared" si="80"/>
        <v>27582.975675308702</v>
      </c>
      <c r="BV14" s="904">
        <f t="shared" si="80"/>
        <v>32356.367278140951</v>
      </c>
      <c r="BW14" s="904">
        <f t="shared" si="80"/>
        <v>26655.652899706787</v>
      </c>
      <c r="BX14" s="911">
        <f>SUM(BL14:BW14)</f>
        <v>311066.28370062209</v>
      </c>
      <c r="BY14" s="803"/>
      <c r="BZ14" s="804">
        <f t="shared" ref="BZ14:CK14" si="81">+BZ13*$D14</f>
        <v>26612.636519152293</v>
      </c>
      <c r="CA14" s="804">
        <f t="shared" si="81"/>
        <v>27395.10588410671</v>
      </c>
      <c r="CB14" s="804">
        <f t="shared" si="81"/>
        <v>28466.153762411883</v>
      </c>
      <c r="CC14" s="804">
        <f t="shared" si="81"/>
        <v>28369.369732477018</v>
      </c>
      <c r="CD14" s="804">
        <f t="shared" si="81"/>
        <v>28096.684590435671</v>
      </c>
      <c r="CE14" s="804">
        <f t="shared" si="81"/>
        <v>26327.468285017978</v>
      </c>
      <c r="CF14" s="804">
        <f t="shared" si="81"/>
        <v>26256.399859608602</v>
      </c>
      <c r="CG14" s="804">
        <f t="shared" si="81"/>
        <v>28798.712391616718</v>
      </c>
      <c r="CH14" s="804">
        <f t="shared" si="81"/>
        <v>29032.817123835874</v>
      </c>
      <c r="CI14" s="804">
        <f t="shared" si="81"/>
        <v>30508.597067650877</v>
      </c>
      <c r="CJ14" s="804">
        <f t="shared" si="81"/>
        <v>35758.987298654116</v>
      </c>
      <c r="CK14" s="804">
        <f t="shared" si="81"/>
        <v>29435.04787528154</v>
      </c>
      <c r="CL14" s="1011">
        <f>SUM(BZ14:CK14)</f>
        <v>345057.98039024929</v>
      </c>
      <c r="CM14" s="803"/>
      <c r="CN14" s="804">
        <f t="shared" ref="CN14:CY14" si="82">+CN13*$D14</f>
        <v>29364.2419753053</v>
      </c>
      <c r="CO14" s="804">
        <f t="shared" si="82"/>
        <v>30204.018001671862</v>
      </c>
      <c r="CP14" s="804">
        <f t="shared" si="82"/>
        <v>31360.763342539642</v>
      </c>
      <c r="CQ14" s="804">
        <f t="shared" si="82"/>
        <v>31230.486616935319</v>
      </c>
      <c r="CR14" s="804">
        <f t="shared" si="82"/>
        <v>30907.251484031996</v>
      </c>
      <c r="CS14" s="804">
        <f t="shared" si="82"/>
        <v>28939.802148822488</v>
      </c>
      <c r="CT14" s="804">
        <f t="shared" si="82"/>
        <v>28840.818482887633</v>
      </c>
      <c r="CU14" s="804">
        <f t="shared" si="82"/>
        <v>31610.845107734302</v>
      </c>
      <c r="CV14" s="804">
        <f t="shared" si="82"/>
        <v>31845.453112518651</v>
      </c>
      <c r="CW14" s="804">
        <f t="shared" si="82"/>
        <v>33441.072285700589</v>
      </c>
      <c r="CX14" s="804">
        <f t="shared" si="82"/>
        <v>39169.430754384659</v>
      </c>
      <c r="CY14" s="804">
        <f t="shared" si="82"/>
        <v>32220.715552894701</v>
      </c>
      <c r="CZ14" s="1011">
        <f>SUM(CN14:CY14)</f>
        <v>379134.89886542712</v>
      </c>
    </row>
    <row r="15" spans="1:104" ht="14.5" x14ac:dyDescent="0.35">
      <c r="B15" s="913" t="s">
        <v>350</v>
      </c>
      <c r="C15" s="913"/>
      <c r="D15" s="914">
        <v>0.114</v>
      </c>
      <c r="E15" s="915"/>
      <c r="F15" s="915"/>
      <c r="G15" s="916"/>
      <c r="H15" s="915"/>
      <c r="I15" s="915"/>
      <c r="J15" s="915"/>
      <c r="K15" s="915"/>
      <c r="L15" s="915"/>
      <c r="M15" s="915"/>
      <c r="N15" s="915"/>
      <c r="O15" s="915"/>
      <c r="P15" s="915"/>
      <c r="Q15" s="915"/>
      <c r="R15" s="915"/>
      <c r="S15" s="915"/>
      <c r="T15" s="917"/>
      <c r="U15" s="918"/>
      <c r="V15" s="919"/>
      <c r="W15" s="919"/>
      <c r="X15" s="919"/>
      <c r="Y15" s="919"/>
      <c r="Z15" s="919"/>
      <c r="AA15" s="919"/>
      <c r="AB15" s="919"/>
      <c r="AC15" s="919"/>
      <c r="AD15" s="919">
        <f>-10000/1.1</f>
        <v>-9090.9090909090901</v>
      </c>
      <c r="AE15" s="919">
        <f>-5000/1.1</f>
        <v>-4545.454545454545</v>
      </c>
      <c r="AF15" s="919">
        <f>-5000/1.1</f>
        <v>-4545.454545454545</v>
      </c>
      <c r="AG15" s="919">
        <f>-5000/1.1</f>
        <v>-4545.454545454545</v>
      </c>
      <c r="AH15" s="920"/>
      <c r="AI15" s="918"/>
      <c r="AJ15" s="919"/>
      <c r="AK15" s="919"/>
      <c r="AL15" s="919"/>
      <c r="AM15" s="919"/>
      <c r="AN15" s="919"/>
      <c r="AO15" s="919"/>
      <c r="AP15" s="919"/>
      <c r="AQ15" s="919"/>
      <c r="AR15" s="919"/>
      <c r="AS15" s="919"/>
      <c r="AT15" s="919"/>
      <c r="AU15" s="919"/>
      <c r="AV15" s="921"/>
      <c r="AW15" s="918"/>
      <c r="AX15" s="919"/>
      <c r="AY15" s="919"/>
      <c r="AZ15" s="919"/>
      <c r="BA15" s="919"/>
      <c r="BB15" s="919"/>
      <c r="BC15" s="919"/>
      <c r="BD15" s="919"/>
      <c r="BE15" s="919"/>
      <c r="BF15" s="919"/>
      <c r="BG15" s="919"/>
      <c r="BH15" s="919"/>
      <c r="BI15" s="919"/>
      <c r="BJ15" s="916"/>
      <c r="BK15" s="918"/>
      <c r="BL15" s="915"/>
      <c r="BM15" s="915"/>
      <c r="BN15" s="915"/>
      <c r="BO15" s="915"/>
      <c r="BP15" s="915"/>
      <c r="BQ15" s="915"/>
      <c r="BR15" s="915"/>
      <c r="BS15" s="915"/>
      <c r="BT15" s="915"/>
      <c r="BU15" s="915"/>
      <c r="BV15" s="915"/>
      <c r="BW15" s="915"/>
      <c r="BX15" s="922"/>
      <c r="BY15" s="805"/>
      <c r="BZ15" s="806"/>
      <c r="CA15" s="806"/>
      <c r="CB15" s="806"/>
      <c r="CC15" s="806"/>
      <c r="CD15" s="806"/>
      <c r="CE15" s="806"/>
      <c r="CF15" s="806"/>
      <c r="CG15" s="806"/>
      <c r="CH15" s="806"/>
      <c r="CI15" s="806"/>
      <c r="CJ15" s="806"/>
      <c r="CK15" s="806"/>
      <c r="CL15" s="1012"/>
      <c r="CM15" s="805"/>
      <c r="CN15" s="806"/>
      <c r="CO15" s="806"/>
      <c r="CP15" s="806"/>
      <c r="CQ15" s="806"/>
      <c r="CR15" s="806"/>
      <c r="CS15" s="806"/>
      <c r="CT15" s="806"/>
      <c r="CU15" s="806"/>
      <c r="CV15" s="806"/>
      <c r="CW15" s="806"/>
      <c r="CX15" s="806"/>
      <c r="CY15" s="806"/>
      <c r="CZ15" s="1012"/>
    </row>
    <row r="16" spans="1:104" ht="14.5" x14ac:dyDescent="0.35">
      <c r="B16" s="841" t="s">
        <v>351</v>
      </c>
      <c r="C16" s="842"/>
      <c r="D16" s="923">
        <v>0.3</v>
      </c>
      <c r="E16" s="844"/>
      <c r="F16" s="844"/>
      <c r="G16" s="875"/>
      <c r="H16" s="844"/>
      <c r="I16" s="844"/>
      <c r="J16" s="844"/>
      <c r="K16" s="844"/>
      <c r="L16" s="844"/>
      <c r="M16" s="844"/>
      <c r="N16" s="844"/>
      <c r="O16" s="844"/>
      <c r="P16" s="844"/>
      <c r="Q16" s="844"/>
      <c r="R16" s="844"/>
      <c r="S16" s="844"/>
      <c r="T16" s="876"/>
      <c r="U16" s="924"/>
      <c r="V16" s="877"/>
      <c r="W16" s="877"/>
      <c r="X16" s="877"/>
      <c r="Y16" s="877"/>
      <c r="Z16" s="877"/>
      <c r="AA16" s="877"/>
      <c r="AB16" s="925"/>
      <c r="AC16" s="925"/>
      <c r="AD16" s="925">
        <f>AD13/1.3*$D16</f>
        <v>18689.250461538461</v>
      </c>
      <c r="AE16" s="925">
        <f>AE13/1.3*$D16</f>
        <v>21506.244923076923</v>
      </c>
      <c r="AF16" s="925">
        <f>AF13/1.3*$D16</f>
        <v>26772.480000000007</v>
      </c>
      <c r="AG16" s="925">
        <f>AG13/1.3*$D16</f>
        <v>23065.521230769231</v>
      </c>
      <c r="AH16" s="878">
        <f>SUM(V16:AG16)</f>
        <v>90033.496615384618</v>
      </c>
      <c r="AI16" s="924"/>
      <c r="AJ16" s="877">
        <f t="shared" ref="AJ16:AU16" si="83">AJ13/1.3*$D16</f>
        <v>23194.4916232293</v>
      </c>
      <c r="AK16" s="877">
        <f t="shared" si="83"/>
        <v>26005.21793075313</v>
      </c>
      <c r="AL16" s="877">
        <f t="shared" si="83"/>
        <v>27252.613475817594</v>
      </c>
      <c r="AM16" s="877">
        <f t="shared" si="83"/>
        <v>29583.443107172148</v>
      </c>
      <c r="AN16" s="877">
        <f t="shared" si="83"/>
        <v>30073.405090909091</v>
      </c>
      <c r="AO16" s="877">
        <f t="shared" si="83"/>
        <v>28837.111768171748</v>
      </c>
      <c r="AP16" s="877">
        <f t="shared" si="83"/>
        <v>29195.179120147877</v>
      </c>
      <c r="AQ16" s="877">
        <f t="shared" si="83"/>
        <v>32523.654587184137</v>
      </c>
      <c r="AR16" s="877">
        <f t="shared" si="83"/>
        <v>33461.454894997507</v>
      </c>
      <c r="AS16" s="877">
        <f t="shared" si="83"/>
        <v>36102.383193359674</v>
      </c>
      <c r="AT16" s="877">
        <f t="shared" si="83"/>
        <v>43401.985349472852</v>
      </c>
      <c r="AU16" s="877">
        <f t="shared" si="83"/>
        <v>36552.740562651983</v>
      </c>
      <c r="AV16" s="879">
        <f>SUM(AJ16:AU16)</f>
        <v>376183.68070386705</v>
      </c>
      <c r="AW16" s="924"/>
      <c r="AX16" s="877">
        <f t="shared" ref="AX16:BI16" si="84">AX13/1.3*$D16</f>
        <v>38128.396907497045</v>
      </c>
      <c r="AY16" s="877">
        <f t="shared" si="84"/>
        <v>39673.758736100295</v>
      </c>
      <c r="AZ16" s="877">
        <f t="shared" si="84"/>
        <v>41658.814021961167</v>
      </c>
      <c r="BA16" s="877">
        <f t="shared" si="84"/>
        <v>41942.894709408785</v>
      </c>
      <c r="BB16" s="877">
        <f t="shared" si="84"/>
        <v>41954.815793565263</v>
      </c>
      <c r="BC16" s="877">
        <f t="shared" si="84"/>
        <v>39695.897962084367</v>
      </c>
      <c r="BD16" s="877">
        <f t="shared" si="84"/>
        <v>39964.774609989894</v>
      </c>
      <c r="BE16" s="877">
        <f t="shared" si="84"/>
        <v>44240.567122620683</v>
      </c>
      <c r="BF16" s="877">
        <f t="shared" si="84"/>
        <v>45003.437386508864</v>
      </c>
      <c r="BG16" s="877">
        <f t="shared" si="84"/>
        <v>47708.375128399559</v>
      </c>
      <c r="BH16" s="877">
        <f t="shared" si="84"/>
        <v>56400.611443310867</v>
      </c>
      <c r="BI16" s="877">
        <f t="shared" si="84"/>
        <v>46816.945755874018</v>
      </c>
      <c r="BJ16" s="875">
        <f>SUM(AX16:BI16)</f>
        <v>523189.28957732086</v>
      </c>
      <c r="BK16" s="924"/>
      <c r="BL16" s="844">
        <f t="shared" ref="BL16:BW16" si="85">BL13/1.3*$D16</f>
        <v>48317.169180896926</v>
      </c>
      <c r="BM16" s="844">
        <f t="shared" si="85"/>
        <v>49785.122432810131</v>
      </c>
      <c r="BN16" s="844">
        <f t="shared" si="85"/>
        <v>51779.920659238509</v>
      </c>
      <c r="BO16" s="844">
        <f t="shared" si="85"/>
        <v>51651.319781692611</v>
      </c>
      <c r="BP16" s="844">
        <f t="shared" si="85"/>
        <v>51201.098580587422</v>
      </c>
      <c r="BQ16" s="844">
        <f t="shared" si="85"/>
        <v>48019.679268125015</v>
      </c>
      <c r="BR16" s="844">
        <f t="shared" si="85"/>
        <v>47931.931782000007</v>
      </c>
      <c r="BS16" s="844">
        <f t="shared" si="85"/>
        <v>52618.228436987854</v>
      </c>
      <c r="BT16" s="844">
        <f t="shared" si="85"/>
        <v>53090.849406944108</v>
      </c>
      <c r="BU16" s="844">
        <f t="shared" si="85"/>
        <v>55835.983148398169</v>
      </c>
      <c r="BV16" s="844">
        <f>BV13/1.3*$D16</f>
        <v>65498.719186520138</v>
      </c>
      <c r="BW16" s="844">
        <f t="shared" si="85"/>
        <v>53958.811537867987</v>
      </c>
      <c r="BX16" s="880">
        <f>SUM(BL16:BW16)</f>
        <v>629688.83340206882</v>
      </c>
      <c r="BY16" s="807"/>
      <c r="BZ16" s="799">
        <f t="shared" ref="BZ16:CK16" si="86">BZ13/1.3*$D16</f>
        <v>53871.733844437833</v>
      </c>
      <c r="CA16" s="799">
        <f t="shared" si="86"/>
        <v>55455.679927341516</v>
      </c>
      <c r="CB16" s="799">
        <f t="shared" si="86"/>
        <v>57623.793041319594</v>
      </c>
      <c r="CC16" s="799">
        <f t="shared" si="86"/>
        <v>57427.87395238263</v>
      </c>
      <c r="CD16" s="799">
        <f t="shared" si="86"/>
        <v>56875.879737724033</v>
      </c>
      <c r="CE16" s="799">
        <f t="shared" si="86"/>
        <v>53294.470212586988</v>
      </c>
      <c r="CF16" s="799">
        <f t="shared" si="86"/>
        <v>53150.607003256271</v>
      </c>
      <c r="CG16" s="799">
        <f t="shared" si="86"/>
        <v>58296.988646997401</v>
      </c>
      <c r="CH16" s="799">
        <f t="shared" si="86"/>
        <v>58770.884866064516</v>
      </c>
      <c r="CI16" s="799">
        <f t="shared" si="86"/>
        <v>61758.293659212293</v>
      </c>
      <c r="CJ16" s="799">
        <f t="shared" si="86"/>
        <v>72386.61396488687</v>
      </c>
      <c r="CK16" s="799">
        <f t="shared" si="86"/>
        <v>59585.117156440356</v>
      </c>
      <c r="CL16" s="845">
        <f>SUM(BZ16:CK16)</f>
        <v>698497.93601265037</v>
      </c>
      <c r="CM16" s="807"/>
      <c r="CN16" s="799">
        <f t="shared" ref="CN16:CY16" si="87">CN13/1.3*$D16</f>
        <v>59441.78537511194</v>
      </c>
      <c r="CO16" s="799">
        <f t="shared" si="87"/>
        <v>61141.736845489591</v>
      </c>
      <c r="CP16" s="799">
        <f t="shared" si="87"/>
        <v>63483.326604331254</v>
      </c>
      <c r="CQ16" s="799">
        <f t="shared" si="87"/>
        <v>63219.608536306303</v>
      </c>
      <c r="CR16" s="799">
        <f t="shared" si="87"/>
        <v>62565.286404923063</v>
      </c>
      <c r="CS16" s="799">
        <f t="shared" si="87"/>
        <v>58582.595442960497</v>
      </c>
      <c r="CT16" s="799">
        <f t="shared" si="87"/>
        <v>58382.223649570107</v>
      </c>
      <c r="CU16" s="799">
        <f t="shared" si="87"/>
        <v>63989.564995413566</v>
      </c>
      <c r="CV16" s="799">
        <f t="shared" si="87"/>
        <v>64464.47998485557</v>
      </c>
      <c r="CW16" s="799">
        <f t="shared" si="87"/>
        <v>67694.478311134793</v>
      </c>
      <c r="CX16" s="799">
        <f t="shared" si="87"/>
        <v>79290.345656649108</v>
      </c>
      <c r="CY16" s="799">
        <f t="shared" si="87"/>
        <v>65224.120552418419</v>
      </c>
      <c r="CZ16" s="845">
        <f>SUM(CN16:CY16)</f>
        <v>767479.55235916423</v>
      </c>
    </row>
    <row r="17" spans="1:104" ht="14.5" x14ac:dyDescent="0.35">
      <c r="B17" s="926" t="s">
        <v>352</v>
      </c>
      <c r="C17" s="927"/>
      <c r="D17" s="1067">
        <v>2.5000000000000001E-2</v>
      </c>
      <c r="E17" s="928"/>
      <c r="F17" s="928"/>
      <c r="G17" s="929"/>
      <c r="H17" s="928"/>
      <c r="I17" s="928"/>
      <c r="J17" s="928"/>
      <c r="K17" s="928"/>
      <c r="L17" s="928"/>
      <c r="M17" s="928"/>
      <c r="N17" s="928"/>
      <c r="O17" s="928"/>
      <c r="P17" s="928"/>
      <c r="Q17" s="928"/>
      <c r="R17" s="928"/>
      <c r="S17" s="928"/>
      <c r="T17" s="930"/>
      <c r="U17" s="931"/>
      <c r="V17" s="932"/>
      <c r="W17" s="932"/>
      <c r="X17" s="932"/>
      <c r="Y17" s="932"/>
      <c r="Z17" s="932"/>
      <c r="AA17" s="932"/>
      <c r="AB17" s="933"/>
      <c r="AC17" s="932"/>
      <c r="AD17" s="932">
        <f>AD13/1.3*$D17</f>
        <v>1557.4375384615385</v>
      </c>
      <c r="AE17" s="932">
        <f>AE13/1.3*$D17</f>
        <v>1792.187076923077</v>
      </c>
      <c r="AF17" s="932">
        <f>AF13/1.3*$D17</f>
        <v>2231.0400000000004</v>
      </c>
      <c r="AG17" s="932">
        <f>AG13/1.3*$D17</f>
        <v>1922.1267692307695</v>
      </c>
      <c r="AH17" s="934">
        <f>SUM(V17:AG17)</f>
        <v>7502.7913846153851</v>
      </c>
      <c r="AI17" s="931"/>
      <c r="AJ17" s="932">
        <f t="shared" ref="AJ17:AU17" si="88">AJ13/1.3*$D17</f>
        <v>1932.8743019357751</v>
      </c>
      <c r="AK17" s="932">
        <f t="shared" si="88"/>
        <v>2167.1014942294273</v>
      </c>
      <c r="AL17" s="932">
        <f t="shared" si="88"/>
        <v>2271.0511229847993</v>
      </c>
      <c r="AM17" s="932">
        <f t="shared" si="88"/>
        <v>2465.2869255976793</v>
      </c>
      <c r="AN17" s="932">
        <f t="shared" si="88"/>
        <v>2506.1170909090911</v>
      </c>
      <c r="AO17" s="932">
        <f t="shared" si="88"/>
        <v>2403.0926473476461</v>
      </c>
      <c r="AP17" s="932">
        <f t="shared" si="88"/>
        <v>2432.9315933456564</v>
      </c>
      <c r="AQ17" s="932">
        <f t="shared" si="88"/>
        <v>2710.304548932012</v>
      </c>
      <c r="AR17" s="932">
        <f t="shared" si="88"/>
        <v>2788.4545745831256</v>
      </c>
      <c r="AS17" s="932">
        <f t="shared" si="88"/>
        <v>3008.531932779973</v>
      </c>
      <c r="AT17" s="932">
        <f t="shared" si="88"/>
        <v>3616.8321124560712</v>
      </c>
      <c r="AU17" s="932">
        <f t="shared" si="88"/>
        <v>3046.0617135543325</v>
      </c>
      <c r="AV17" s="935">
        <f>SUM(AJ17:AU17)</f>
        <v>31348.64005865559</v>
      </c>
      <c r="AW17" s="931"/>
      <c r="AX17" s="932">
        <f t="shared" ref="AX17:BI17" si="89">AX13/1.3*$D17</f>
        <v>3177.3664089580875</v>
      </c>
      <c r="AY17" s="932">
        <f t="shared" si="89"/>
        <v>3306.1465613416913</v>
      </c>
      <c r="AZ17" s="932">
        <f t="shared" si="89"/>
        <v>3471.5678351634306</v>
      </c>
      <c r="BA17" s="932">
        <f t="shared" si="89"/>
        <v>3495.2412257840656</v>
      </c>
      <c r="BB17" s="932">
        <f t="shared" si="89"/>
        <v>3496.2346494637723</v>
      </c>
      <c r="BC17" s="932">
        <f t="shared" si="89"/>
        <v>3307.9914968403641</v>
      </c>
      <c r="BD17" s="932">
        <f t="shared" si="89"/>
        <v>3330.3978841658245</v>
      </c>
      <c r="BE17" s="932">
        <f t="shared" si="89"/>
        <v>3686.7139268850574</v>
      </c>
      <c r="BF17" s="932">
        <f t="shared" si="89"/>
        <v>3750.2864488757391</v>
      </c>
      <c r="BG17" s="932">
        <f t="shared" si="89"/>
        <v>3975.6979273666302</v>
      </c>
      <c r="BH17" s="932">
        <f t="shared" si="89"/>
        <v>4700.0509536092386</v>
      </c>
      <c r="BI17" s="932">
        <f t="shared" si="89"/>
        <v>3901.4121463228353</v>
      </c>
      <c r="BJ17" s="929">
        <f>SUM(AX17:BI17)</f>
        <v>43599.107464776738</v>
      </c>
      <c r="BK17" s="931"/>
      <c r="BL17" s="932">
        <f t="shared" ref="BL17:BW17" si="90">BL13/1.3*$D17</f>
        <v>4026.4307650747442</v>
      </c>
      <c r="BM17" s="932">
        <f t="shared" si="90"/>
        <v>4148.7602027341773</v>
      </c>
      <c r="BN17" s="932">
        <f t="shared" si="90"/>
        <v>4314.993388269876</v>
      </c>
      <c r="BO17" s="932">
        <f t="shared" si="90"/>
        <v>4304.2766484743843</v>
      </c>
      <c r="BP17" s="932">
        <f t="shared" si="90"/>
        <v>4266.7582150489525</v>
      </c>
      <c r="BQ17" s="932">
        <f t="shared" si="90"/>
        <v>4001.6399390104184</v>
      </c>
      <c r="BR17" s="932">
        <f t="shared" si="90"/>
        <v>3994.327648500001</v>
      </c>
      <c r="BS17" s="932">
        <f t="shared" si="90"/>
        <v>4384.8523697489882</v>
      </c>
      <c r="BT17" s="932">
        <f t="shared" si="90"/>
        <v>4424.2374505786756</v>
      </c>
      <c r="BU17" s="932">
        <f t="shared" si="90"/>
        <v>4652.998595699848</v>
      </c>
      <c r="BV17" s="932">
        <f t="shared" si="90"/>
        <v>5458.2265988766785</v>
      </c>
      <c r="BW17" s="932">
        <f t="shared" si="90"/>
        <v>4496.5676281556653</v>
      </c>
      <c r="BX17" s="936">
        <f>SUM(BL17:BW17)</f>
        <v>52474.069450172421</v>
      </c>
      <c r="BY17" s="808"/>
      <c r="BZ17" s="809">
        <f t="shared" ref="BZ17:CK17" si="91">BZ13/1.3*$D17</f>
        <v>4489.3111537031536</v>
      </c>
      <c r="CA17" s="809">
        <f t="shared" si="91"/>
        <v>4621.3066606117927</v>
      </c>
      <c r="CB17" s="809">
        <f t="shared" si="91"/>
        <v>4801.9827534432998</v>
      </c>
      <c r="CC17" s="809">
        <f t="shared" si="91"/>
        <v>4785.6561626985522</v>
      </c>
      <c r="CD17" s="809">
        <f t="shared" si="91"/>
        <v>4739.6566448103358</v>
      </c>
      <c r="CE17" s="809">
        <f t="shared" si="91"/>
        <v>4441.205851048916</v>
      </c>
      <c r="CF17" s="809">
        <f t="shared" si="91"/>
        <v>4429.2172502713565</v>
      </c>
      <c r="CG17" s="809">
        <f t="shared" si="91"/>
        <v>4858.082387249784</v>
      </c>
      <c r="CH17" s="809">
        <f t="shared" si="91"/>
        <v>4897.5737388387097</v>
      </c>
      <c r="CI17" s="809">
        <f t="shared" si="91"/>
        <v>5146.5244716010247</v>
      </c>
      <c r="CJ17" s="809">
        <f t="shared" si="91"/>
        <v>6032.2178304072404</v>
      </c>
      <c r="CK17" s="809">
        <f t="shared" si="91"/>
        <v>4965.4264297033633</v>
      </c>
      <c r="CL17" s="1013">
        <f>SUM(BZ17:CK17)</f>
        <v>58208.161334387536</v>
      </c>
      <c r="CM17" s="808"/>
      <c r="CN17" s="809">
        <f t="shared" ref="CN17:CY17" si="92">CN13/1.3*$D17</f>
        <v>4953.4821145926617</v>
      </c>
      <c r="CO17" s="809">
        <f t="shared" si="92"/>
        <v>5095.1447371241338</v>
      </c>
      <c r="CP17" s="809">
        <f t="shared" si="92"/>
        <v>5290.2772170276048</v>
      </c>
      <c r="CQ17" s="809">
        <f t="shared" si="92"/>
        <v>5268.3007113588592</v>
      </c>
      <c r="CR17" s="809">
        <f t="shared" si="92"/>
        <v>5213.7738670769222</v>
      </c>
      <c r="CS17" s="809">
        <f t="shared" si="92"/>
        <v>4881.8829535800423</v>
      </c>
      <c r="CT17" s="809">
        <f t="shared" si="92"/>
        <v>4865.1853041308423</v>
      </c>
      <c r="CU17" s="809">
        <f t="shared" si="92"/>
        <v>5332.4637496177975</v>
      </c>
      <c r="CV17" s="809">
        <f t="shared" si="92"/>
        <v>5372.0399987379642</v>
      </c>
      <c r="CW17" s="809">
        <f t="shared" si="92"/>
        <v>5641.2065259279007</v>
      </c>
      <c r="CX17" s="809">
        <f t="shared" si="92"/>
        <v>6607.5288047207596</v>
      </c>
      <c r="CY17" s="809">
        <f t="shared" si="92"/>
        <v>5435.3433793682016</v>
      </c>
      <c r="CZ17" s="1013">
        <f>SUM(CN17:CY17)</f>
        <v>63956.629363263695</v>
      </c>
    </row>
    <row r="18" spans="1:104" ht="14.5" x14ac:dyDescent="0.35">
      <c r="B18" s="861" t="s">
        <v>353</v>
      </c>
      <c r="D18" s="937">
        <f>100%+D17</f>
        <v>1.0249999999999999</v>
      </c>
      <c r="E18" s="882"/>
      <c r="F18" s="882"/>
      <c r="G18" s="938"/>
      <c r="H18" s="882"/>
      <c r="I18" s="882"/>
      <c r="J18" s="882"/>
      <c r="K18" s="882"/>
      <c r="L18" s="882"/>
      <c r="M18" s="882"/>
      <c r="N18" s="882"/>
      <c r="O18" s="882"/>
      <c r="P18" s="882"/>
      <c r="Q18" s="882"/>
      <c r="R18" s="882"/>
      <c r="S18" s="882"/>
      <c r="T18" s="831"/>
      <c r="V18" s="883"/>
      <c r="W18" s="883"/>
      <c r="X18" s="883"/>
      <c r="Y18" s="883"/>
      <c r="Z18" s="883"/>
      <c r="AA18" s="883"/>
      <c r="AB18" s="883"/>
      <c r="AC18" s="883"/>
      <c r="AD18" s="883">
        <f>AD13/(1+$D16)*$D18</f>
        <v>63854.939076923067</v>
      </c>
      <c r="AE18" s="883">
        <f>AE13/(1+$D16)*$D18</f>
        <v>73479.670153846149</v>
      </c>
      <c r="AF18" s="883">
        <f>AF13/(1+$D16)*$D18</f>
        <v>91472.640000000014</v>
      </c>
      <c r="AG18" s="883">
        <f>AG13/(1+$D16)*$D18</f>
        <v>78807.197538461536</v>
      </c>
      <c r="AH18" s="848">
        <f>SUM(V18:AG18)</f>
        <v>307614.44676923077</v>
      </c>
      <c r="AJ18" s="883">
        <f t="shared" ref="AJ18:AU18" si="93">AJ13/(1+$D16)*$D18</f>
        <v>79247.846379366762</v>
      </c>
      <c r="AK18" s="883">
        <f t="shared" si="93"/>
        <v>88851.16126340651</v>
      </c>
      <c r="AL18" s="883">
        <f t="shared" si="93"/>
        <v>93113.096042376768</v>
      </c>
      <c r="AM18" s="883">
        <f t="shared" si="93"/>
        <v>101076.76394950484</v>
      </c>
      <c r="AN18" s="883">
        <f t="shared" si="93"/>
        <v>102750.80072727273</v>
      </c>
      <c r="AO18" s="883">
        <f t="shared" si="93"/>
        <v>98526.798541253476</v>
      </c>
      <c r="AP18" s="883">
        <f t="shared" si="93"/>
        <v>99750.19532717191</v>
      </c>
      <c r="AQ18" s="883">
        <f t="shared" si="93"/>
        <v>111122.48650621247</v>
      </c>
      <c r="AR18" s="883">
        <f t="shared" si="93"/>
        <v>114326.63755790814</v>
      </c>
      <c r="AS18" s="883">
        <f t="shared" si="93"/>
        <v>123349.80924397887</v>
      </c>
      <c r="AT18" s="883">
        <f t="shared" si="93"/>
        <v>148290.1166106989</v>
      </c>
      <c r="AU18" s="883">
        <f t="shared" si="93"/>
        <v>124888.5302557276</v>
      </c>
      <c r="AV18" s="873">
        <f>SUM(AJ18:AU18)</f>
        <v>1285294.2424048791</v>
      </c>
      <c r="AX18" s="883">
        <f t="shared" ref="AX18:BI18" si="94">AX13/(1+$D16)*$D18</f>
        <v>130272.02276728157</v>
      </c>
      <c r="AY18" s="883">
        <f t="shared" si="94"/>
        <v>135552.00901500933</v>
      </c>
      <c r="AZ18" s="883">
        <f t="shared" si="94"/>
        <v>142334.28124170064</v>
      </c>
      <c r="BA18" s="883">
        <f t="shared" si="94"/>
        <v>143304.89025714668</v>
      </c>
      <c r="BB18" s="883">
        <f t="shared" si="94"/>
        <v>143345.62062801464</v>
      </c>
      <c r="BC18" s="883">
        <f t="shared" si="94"/>
        <v>135627.6513704549</v>
      </c>
      <c r="BD18" s="883">
        <f t="shared" si="94"/>
        <v>136546.31325079879</v>
      </c>
      <c r="BE18" s="883">
        <f t="shared" si="94"/>
        <v>151155.27100228734</v>
      </c>
      <c r="BF18" s="883">
        <f t="shared" si="94"/>
        <v>153761.74440390529</v>
      </c>
      <c r="BG18" s="883">
        <f t="shared" si="94"/>
        <v>163003.61502203182</v>
      </c>
      <c r="BH18" s="883">
        <f t="shared" si="94"/>
        <v>192702.08909797878</v>
      </c>
      <c r="BI18" s="883">
        <f t="shared" si="94"/>
        <v>159957.89799923621</v>
      </c>
      <c r="BJ18" s="829">
        <f>SUM(AX18:BI18)</f>
        <v>1787563.4060558458</v>
      </c>
      <c r="BL18" s="883">
        <f t="shared" ref="BL18:BW18" si="95">BL13/(1+$D16)*$D18</f>
        <v>165083.6613680645</v>
      </c>
      <c r="BM18" s="883">
        <f t="shared" si="95"/>
        <v>170099.16831210125</v>
      </c>
      <c r="BN18" s="883">
        <f t="shared" si="95"/>
        <v>176914.72891906489</v>
      </c>
      <c r="BO18" s="883">
        <f t="shared" si="95"/>
        <v>176475.34258744973</v>
      </c>
      <c r="BP18" s="883">
        <f t="shared" si="95"/>
        <v>174937.08681700702</v>
      </c>
      <c r="BQ18" s="883">
        <f t="shared" si="95"/>
        <v>164067.23749942714</v>
      </c>
      <c r="BR18" s="883">
        <f t="shared" si="95"/>
        <v>163767.43358850002</v>
      </c>
      <c r="BS18" s="883">
        <f t="shared" si="95"/>
        <v>179778.94715970848</v>
      </c>
      <c r="BT18" s="883">
        <f t="shared" si="95"/>
        <v>181393.73547372568</v>
      </c>
      <c r="BU18" s="883">
        <f t="shared" si="95"/>
        <v>190772.94242369375</v>
      </c>
      <c r="BV18" s="883">
        <f t="shared" si="95"/>
        <v>223787.29055394378</v>
      </c>
      <c r="BW18" s="883">
        <f t="shared" si="95"/>
        <v>184359.27275438225</v>
      </c>
      <c r="BX18" s="850">
        <f>SUM(BL18:BW18)</f>
        <v>2151436.8474570685</v>
      </c>
      <c r="BY18" s="793"/>
      <c r="BZ18" s="810">
        <f t="shared" ref="BZ18:CK18" si="96">BZ13/(1+$D16)*$D18</f>
        <v>184061.75730182926</v>
      </c>
      <c r="CA18" s="810">
        <f t="shared" si="96"/>
        <v>189473.57308508348</v>
      </c>
      <c r="CB18" s="810">
        <f t="shared" si="96"/>
        <v>196881.29289117525</v>
      </c>
      <c r="CC18" s="810">
        <f t="shared" si="96"/>
        <v>196211.90267064064</v>
      </c>
      <c r="CD18" s="810">
        <f t="shared" si="96"/>
        <v>194325.92243722375</v>
      </c>
      <c r="CE18" s="810">
        <f t="shared" si="96"/>
        <v>182089.43989300553</v>
      </c>
      <c r="CF18" s="810">
        <f t="shared" si="96"/>
        <v>181597.9072611256</v>
      </c>
      <c r="CG18" s="810">
        <f t="shared" si="96"/>
        <v>199181.37787724112</v>
      </c>
      <c r="CH18" s="810">
        <f t="shared" si="96"/>
        <v>200800.52329238708</v>
      </c>
      <c r="CI18" s="810">
        <f t="shared" si="96"/>
        <v>211007.50333564199</v>
      </c>
      <c r="CJ18" s="810">
        <f t="shared" si="96"/>
        <v>247320.93104669682</v>
      </c>
      <c r="CK18" s="810">
        <f t="shared" si="96"/>
        <v>203582.48361783786</v>
      </c>
      <c r="CL18" s="851">
        <f>SUM(BZ18:CK18)</f>
        <v>2386534.6147098886</v>
      </c>
      <c r="CM18" s="793"/>
      <c r="CN18" s="810">
        <f t="shared" ref="CN18:CY18" si="97">CN13/(1+$D16)*$D18</f>
        <v>203092.76669829912</v>
      </c>
      <c r="CO18" s="810">
        <f t="shared" si="97"/>
        <v>208900.93422208945</v>
      </c>
      <c r="CP18" s="810">
        <f t="shared" si="97"/>
        <v>216901.36589813177</v>
      </c>
      <c r="CQ18" s="810">
        <f t="shared" si="97"/>
        <v>216000.32916571319</v>
      </c>
      <c r="CR18" s="810">
        <f t="shared" si="97"/>
        <v>213764.72855015378</v>
      </c>
      <c r="CS18" s="810">
        <f t="shared" si="97"/>
        <v>200157.2010967817</v>
      </c>
      <c r="CT18" s="810">
        <f t="shared" si="97"/>
        <v>199472.59746936453</v>
      </c>
      <c r="CU18" s="810">
        <f t="shared" si="97"/>
        <v>218631.01373432967</v>
      </c>
      <c r="CV18" s="810">
        <f t="shared" si="97"/>
        <v>220253.63994825652</v>
      </c>
      <c r="CW18" s="810">
        <f t="shared" si="97"/>
        <v>231289.46756304387</v>
      </c>
      <c r="CX18" s="810">
        <f t="shared" si="97"/>
        <v>270908.6809935511</v>
      </c>
      <c r="CY18" s="810">
        <f t="shared" si="97"/>
        <v>222849.07855409625</v>
      </c>
      <c r="CZ18" s="851">
        <f>SUM(CN18:CY18)</f>
        <v>2622221.8038938106</v>
      </c>
    </row>
    <row r="19" spans="1:104" ht="14.5" x14ac:dyDescent="0.35">
      <c r="A19" s="825">
        <v>1</v>
      </c>
      <c r="B19" s="852" t="s">
        <v>354</v>
      </c>
      <c r="C19" s="853"/>
      <c r="D19" s="854"/>
      <c r="E19" s="838"/>
      <c r="F19" s="838"/>
      <c r="G19" s="837"/>
      <c r="H19" s="838"/>
      <c r="I19" s="838"/>
      <c r="J19" s="838"/>
      <c r="K19" s="838"/>
      <c r="L19" s="838"/>
      <c r="M19" s="838"/>
      <c r="N19" s="838"/>
      <c r="O19" s="838"/>
      <c r="P19" s="838"/>
      <c r="Q19" s="838"/>
      <c r="R19" s="838"/>
      <c r="S19" s="838"/>
      <c r="T19" s="939"/>
      <c r="U19" s="855"/>
      <c r="V19" s="856"/>
      <c r="W19" s="856"/>
      <c r="X19" s="856"/>
      <c r="Y19" s="856"/>
      <c r="Z19" s="856"/>
      <c r="AA19" s="856"/>
      <c r="AB19" s="856"/>
      <c r="AC19" s="856">
        <f>+AC20</f>
        <v>0</v>
      </c>
      <c r="AD19" s="856">
        <f>+AC19-AD18+AD20</f>
        <v>108310.44012307693</v>
      </c>
      <c r="AE19" s="856">
        <f>+AD19-AE18+AE20</f>
        <v>110946.56098461538</v>
      </c>
      <c r="AF19" s="856">
        <f>+AE19-AF18+AF20</f>
        <v>106614.17550769229</v>
      </c>
      <c r="AG19" s="856">
        <f>+AF19-AG18+AG20</f>
        <v>107968.84952202717</v>
      </c>
      <c r="AH19" s="857"/>
      <c r="AI19" s="855"/>
      <c r="AJ19" s="856">
        <f>+AG19-AJ18+AJ20</f>
        <v>109845.44761474461</v>
      </c>
      <c r="AK19" s="856">
        <f t="shared" ref="AK19:AU19" si="98">+AJ19-AK18+AK20</f>
        <v>109737.50308213469</v>
      </c>
      <c r="AL19" s="856">
        <f t="shared" si="98"/>
        <v>110904.04318566328</v>
      </c>
      <c r="AM19" s="856">
        <f t="shared" si="98"/>
        <v>110442.48375050405</v>
      </c>
      <c r="AN19" s="856">
        <f t="shared" si="98"/>
        <v>109430.27963552339</v>
      </c>
      <c r="AO19" s="856">
        <f t="shared" si="98"/>
        <v>110097.35921130898</v>
      </c>
      <c r="AP19" s="856">
        <f t="shared" si="98"/>
        <v>112249.47776852523</v>
      </c>
      <c r="AQ19" s="856">
        <f t="shared" si="98"/>
        <v>111753.07886096029</v>
      </c>
      <c r="AR19" s="856">
        <f t="shared" si="98"/>
        <v>113237.29809300488</v>
      </c>
      <c r="AS19" s="856">
        <f t="shared" si="98"/>
        <v>117323.04239774181</v>
      </c>
      <c r="AT19" s="856">
        <f t="shared" si="98"/>
        <v>110148.69439007557</v>
      </c>
      <c r="AU19" s="856">
        <f t="shared" si="98"/>
        <v>113565.55152788349</v>
      </c>
      <c r="AV19" s="940"/>
      <c r="AW19" s="941"/>
      <c r="AX19" s="856">
        <f>+AU19-AX18+AX20</f>
        <v>114083.19952627363</v>
      </c>
      <c r="AY19" s="856">
        <f t="shared" ref="AY19:BI19" si="99">+AX19-AY18+AY20</f>
        <v>114911.65534683912</v>
      </c>
      <c r="AZ19" s="856">
        <f t="shared" si="99"/>
        <v>114427.5499272592</v>
      </c>
      <c r="BA19" s="856">
        <f t="shared" si="99"/>
        <v>114338.63509988818</v>
      </c>
      <c r="BB19" s="856">
        <f t="shared" si="99"/>
        <v>112790.96821128945</v>
      </c>
      <c r="BC19" s="856">
        <f t="shared" si="99"/>
        <v>113746.49751311423</v>
      </c>
      <c r="BD19" s="856">
        <f t="shared" si="99"/>
        <v>116576.42287537754</v>
      </c>
      <c r="BE19" s="856">
        <f t="shared" si="99"/>
        <v>115636.82178055226</v>
      </c>
      <c r="BF19" s="856">
        <f t="shared" si="99"/>
        <v>117224.54856401576</v>
      </c>
      <c r="BG19" s="856">
        <f t="shared" si="99"/>
        <v>122240.05631739249</v>
      </c>
      <c r="BH19" s="856">
        <f t="shared" si="99"/>
        <v>112721.3706900493</v>
      </c>
      <c r="BI19" s="856">
        <f t="shared" si="99"/>
        <v>117020.94247368923</v>
      </c>
      <c r="BJ19" s="837"/>
      <c r="BK19" s="855"/>
      <c r="BL19" s="856">
        <f>+BI19-BL18+BL20</f>
        <v>117511.46752561377</v>
      </c>
      <c r="BM19" s="856">
        <f t="shared" ref="BM19:BW19" si="100">+BL19-BM18+BM20</f>
        <v>118373.02895260281</v>
      </c>
      <c r="BN19" s="856">
        <f t="shared" si="100"/>
        <v>117603.59562558336</v>
      </c>
      <c r="BO19" s="856">
        <f t="shared" si="100"/>
        <v>117339.88310465634</v>
      </c>
      <c r="BP19" s="856">
        <f t="shared" si="100"/>
        <v>115319.73881818466</v>
      </c>
      <c r="BQ19" s="856">
        <f t="shared" si="100"/>
        <v>116346.76296775723</v>
      </c>
      <c r="BR19" s="856">
        <f t="shared" si="100"/>
        <v>119579.04607309164</v>
      </c>
      <c r="BS19" s="856">
        <f t="shared" si="100"/>
        <v>118300.85237877425</v>
      </c>
      <c r="BT19" s="856">
        <f t="shared" si="100"/>
        <v>120015.21493736615</v>
      </c>
      <c r="BU19" s="856">
        <f t="shared" si="100"/>
        <v>125680.16386841935</v>
      </c>
      <c r="BV19" s="856">
        <f t="shared" si="100"/>
        <v>114493.12549548205</v>
      </c>
      <c r="BW19" s="856">
        <f t="shared" si="100"/>
        <v>118435.92727543823</v>
      </c>
      <c r="BX19" s="850"/>
      <c r="BY19" s="796"/>
      <c r="BZ19" s="811">
        <f>+BW19-BZ18+BZ20</f>
        <v>119548.04197734436</v>
      </c>
      <c r="CA19" s="811">
        <f t="shared" ref="CA19" si="101">+BZ19-CA18+CA20</f>
        <v>120488.40436023731</v>
      </c>
      <c r="CB19" s="811">
        <f t="shared" ref="CB19" si="102">+CA19-CB18+CB20</f>
        <v>119613.75433552121</v>
      </c>
      <c r="CC19" s="811">
        <f t="shared" ref="CC19" si="103">+CB19-CC18+CC20</f>
        <v>119303.49731089127</v>
      </c>
      <c r="CD19" s="811">
        <f t="shared" ref="CD19" si="104">+CC19-CD18+CD20</f>
        <v>117044.79882538928</v>
      </c>
      <c r="CE19" s="811">
        <f t="shared" ref="CE19" si="105">+CD19-CE18+CE20</f>
        <v>118170.14055343509</v>
      </c>
      <c r="CF19" s="811">
        <f t="shared" ref="CF19" si="106">+CE19-CF18+CF20</f>
        <v>121735.98793984619</v>
      </c>
      <c r="CG19" s="811">
        <f t="shared" ref="CG19" si="107">+CF19-CG18+CG20</f>
        <v>120301.46996126381</v>
      </c>
      <c r="CH19" s="811">
        <f t="shared" ref="CH19" si="108">+CG19-CH18+CH20</f>
        <v>122180.95142840019</v>
      </c>
      <c r="CI19" s="811">
        <f t="shared" ref="CI19" si="109">+CH19-CI18+CI20</f>
        <v>128422.93896628563</v>
      </c>
      <c r="CJ19" s="811">
        <f t="shared" ref="CJ19" si="110">+CI19-CJ18+CJ20</f>
        <v>116043.90670940829</v>
      </c>
      <c r="CK19" s="811">
        <f t="shared" ref="CK19" si="111">+CJ19-CK18+CK20</f>
        <v>120417.75145229413</v>
      </c>
      <c r="CM19" s="796"/>
      <c r="CN19" s="811">
        <f>+CK19-CN18+CN20</f>
        <v>121628.35664900603</v>
      </c>
      <c r="CO19" s="811">
        <f t="shared" ref="CO19" si="112">+CN19-CO18+CO20</f>
        <v>122647.62623183544</v>
      </c>
      <c r="CP19" s="811">
        <f t="shared" ref="CP19" si="113">+CO19-CP18+CP20</f>
        <v>121667.37571774751</v>
      </c>
      <c r="CQ19" s="811">
        <f t="shared" ref="CQ19" si="114">+CP19-CQ18+CQ20</f>
        <v>121310.35926787749</v>
      </c>
      <c r="CR19" s="811">
        <f t="shared" ref="CR19" si="115">+CQ19-CR18+CR20</f>
        <v>118812.41383875899</v>
      </c>
      <c r="CS19" s="811">
        <f t="shared" ref="CS19" si="116">+CR19-CS18+CS20</f>
        <v>120036.24585861275</v>
      </c>
      <c r="CT19" s="811">
        <f t="shared" ref="CT19" si="117">+CS19-CT18+CT20</f>
        <v>123936.38947434745</v>
      </c>
      <c r="CU19" s="811">
        <f t="shared" ref="CU19" si="118">+CT19-CU18+CU20</f>
        <v>122345.0730906363</v>
      </c>
      <c r="CV19" s="811">
        <f t="shared" ref="CV19" si="119">+CU19-CV18+CV20</f>
        <v>124389.97599220109</v>
      </c>
      <c r="CW19" s="811">
        <f t="shared" ref="CW19" si="120">+CV19-CW18+CW20</f>
        <v>131210.23591682379</v>
      </c>
      <c r="CX19" s="811">
        <f t="shared" ref="CX19" si="121">+CW19-CX18+CX20</f>
        <v>117636.39408588206</v>
      </c>
      <c r="CY19" s="811">
        <f t="shared" ref="CY19" si="122">+CX19-CY18+CY20</f>
        <v>122442.3543298275</v>
      </c>
    </row>
    <row r="20" spans="1:104" ht="14.5" x14ac:dyDescent="0.35">
      <c r="A20" s="825">
        <v>5</v>
      </c>
      <c r="B20" s="942" t="s">
        <v>355</v>
      </c>
      <c r="C20" s="943"/>
      <c r="D20" s="944">
        <v>100000</v>
      </c>
      <c r="E20" s="945"/>
      <c r="F20" s="945"/>
      <c r="G20" s="946"/>
      <c r="H20" s="945"/>
      <c r="I20" s="945"/>
      <c r="J20" s="945"/>
      <c r="K20" s="945"/>
      <c r="L20" s="945"/>
      <c r="M20" s="945"/>
      <c r="N20" s="945"/>
      <c r="O20" s="945"/>
      <c r="P20" s="945"/>
      <c r="Q20" s="945"/>
      <c r="R20" s="945"/>
      <c r="S20" s="945"/>
      <c r="T20" s="947"/>
      <c r="U20" s="870"/>
      <c r="V20" s="948"/>
      <c r="W20" s="948"/>
      <c r="X20" s="948"/>
      <c r="Y20" s="948"/>
      <c r="Z20" s="948"/>
      <c r="AA20" s="948"/>
      <c r="AB20" s="948"/>
      <c r="AC20" s="948"/>
      <c r="AD20" s="949">
        <f>+(AD13*0.9+AE13*0.2)/(1+$D16)*$D18+D20</f>
        <v>172165.3792</v>
      </c>
      <c r="AE20" s="948">
        <f>+(AE13*0.7+AD13*0.1+AF13*0.2)/(1+$D16)*$D18</f>
        <v>76115.791015384602</v>
      </c>
      <c r="AF20" s="948">
        <f>+(AF13*0.7+AE13*0.1+AG13*0.2)/(1+$D16)*$D18</f>
        <v>87140.254523076917</v>
      </c>
      <c r="AG20" s="948">
        <f>+(AG13*0.7+AF13*0.1+AJ13*0.2)/(1+$D16)*$D18</f>
        <v>80161.871552796423</v>
      </c>
      <c r="AH20" s="834">
        <f>SUM(V20:AG20)</f>
        <v>415583.29629125795</v>
      </c>
      <c r="AI20" s="870"/>
      <c r="AJ20" s="948">
        <f>+(AJ13*0.7+AG13*0.1+AK13*0.2)/(1+$D16)*$D18</f>
        <v>81124.4444720842</v>
      </c>
      <c r="AK20" s="948">
        <f t="shared" ref="AK20:AT20" si="123">+(AK13*0.7+AJ13*0.1+AL13*0.2)/(1+$D16)*$D18</f>
        <v>88743.216730796586</v>
      </c>
      <c r="AL20" s="948">
        <f t="shared" si="123"/>
        <v>94279.636145905359</v>
      </c>
      <c r="AM20" s="948">
        <f t="shared" si="123"/>
        <v>100615.20451434561</v>
      </c>
      <c r="AN20" s="948">
        <f t="shared" si="123"/>
        <v>101738.59661229207</v>
      </c>
      <c r="AO20" s="948">
        <f t="shared" si="123"/>
        <v>99193.878117039072</v>
      </c>
      <c r="AP20" s="948">
        <f t="shared" si="123"/>
        <v>101902.31388438816</v>
      </c>
      <c r="AQ20" s="948">
        <f t="shared" si="123"/>
        <v>110626.08759864753</v>
      </c>
      <c r="AR20" s="948">
        <f t="shared" si="123"/>
        <v>115810.85678995273</v>
      </c>
      <c r="AS20" s="948">
        <f t="shared" si="123"/>
        <v>127435.5535487158</v>
      </c>
      <c r="AT20" s="948">
        <f t="shared" si="123"/>
        <v>141115.76860303266</v>
      </c>
      <c r="AU20" s="948">
        <f>+(AU13*0.7+AT13*0.1+AX13*0.2)/(1+$D16)*$D18</f>
        <v>128305.38739353552</v>
      </c>
      <c r="AV20" s="835">
        <f>SUM(AJ20:AU20)</f>
        <v>1290890.9444107353</v>
      </c>
      <c r="AW20" s="870"/>
      <c r="AX20" s="948">
        <f>+(AX13*0.7+AU13*0.1+AY13*0.2)/(1+$D16)*$D18</f>
        <v>130789.6707656717</v>
      </c>
      <c r="AY20" s="948">
        <f t="shared" ref="AY20:BH20" si="124">+(AY13*0.7+AX13*0.1+AZ13*0.2)/(1+$D16)*$D18</f>
        <v>136380.46483557482</v>
      </c>
      <c r="AZ20" s="948">
        <f t="shared" si="124"/>
        <v>141850.17582212071</v>
      </c>
      <c r="BA20" s="948">
        <f t="shared" si="124"/>
        <v>143215.97542977566</v>
      </c>
      <c r="BB20" s="948">
        <f t="shared" si="124"/>
        <v>141797.95373941591</v>
      </c>
      <c r="BC20" s="948">
        <f t="shared" si="124"/>
        <v>136583.18067227968</v>
      </c>
      <c r="BD20" s="948">
        <f t="shared" si="124"/>
        <v>139376.2386130621</v>
      </c>
      <c r="BE20" s="948">
        <f t="shared" si="124"/>
        <v>150215.66990746206</v>
      </c>
      <c r="BF20" s="948">
        <f t="shared" si="124"/>
        <v>155349.47118736879</v>
      </c>
      <c r="BG20" s="948">
        <f t="shared" si="124"/>
        <v>168019.12277540856</v>
      </c>
      <c r="BH20" s="948">
        <f t="shared" si="124"/>
        <v>183183.40347063559</v>
      </c>
      <c r="BI20" s="948">
        <f>+(BI13*0.7+BH13*0.1+BL13*0.2)/(1+$D16)*$D18</f>
        <v>164257.46978287614</v>
      </c>
      <c r="BJ20" s="946">
        <f>SUM(AX20:BI20)</f>
        <v>1791018.7970016515</v>
      </c>
      <c r="BK20" s="870"/>
      <c r="BL20" s="948">
        <f>+(BL13*0.7+BI13*0.1+BM13*0.2)/(1+$D16)*$D18</f>
        <v>165574.18641998904</v>
      </c>
      <c r="BM20" s="948">
        <f t="shared" ref="BM20:BV20" si="125">+(BM13*0.7+BL13*0.1+BN13*0.2)/(1+$D16)*$D18</f>
        <v>170960.72973909028</v>
      </c>
      <c r="BN20" s="948">
        <f t="shared" si="125"/>
        <v>176145.29559204544</v>
      </c>
      <c r="BO20" s="948">
        <f t="shared" si="125"/>
        <v>176211.63006652272</v>
      </c>
      <c r="BP20" s="948">
        <f t="shared" si="125"/>
        <v>172916.94253053534</v>
      </c>
      <c r="BQ20" s="948">
        <f t="shared" si="125"/>
        <v>165094.2616489997</v>
      </c>
      <c r="BR20" s="948">
        <f t="shared" si="125"/>
        <v>166999.71669383443</v>
      </c>
      <c r="BS20" s="948">
        <f t="shared" si="125"/>
        <v>178500.75346539108</v>
      </c>
      <c r="BT20" s="948">
        <f t="shared" si="125"/>
        <v>183108.09803231759</v>
      </c>
      <c r="BU20" s="948">
        <f t="shared" si="125"/>
        <v>196437.89135474694</v>
      </c>
      <c r="BV20" s="948">
        <f t="shared" si="125"/>
        <v>212600.25218100648</v>
      </c>
      <c r="BW20" s="948">
        <f>+(BW13*0.7+BV13*0.1+BW13*0.2)/(1+$D16)*$D18</f>
        <v>188302.07453433843</v>
      </c>
      <c r="BX20" s="950">
        <f>SUM(BL20:BW20)</f>
        <v>2152851.8322588173</v>
      </c>
      <c r="BY20" s="797"/>
      <c r="BZ20" s="812">
        <f>+(BZ13*0.7+BW13*0.1+CA13*0.2)/(1+$D16)*$D18</f>
        <v>185173.87200373539</v>
      </c>
      <c r="CA20" s="812">
        <f t="shared" ref="CA20" si="126">+(CA13*0.7+BZ13*0.1+CB13*0.2)/(1+$D16)*$D18</f>
        <v>190413.93546797644</v>
      </c>
      <c r="CB20" s="812">
        <f t="shared" ref="CB20" si="127">+(CB13*0.7+CA13*0.1+CC13*0.2)/(1+$D16)*$D18</f>
        <v>196006.64286645915</v>
      </c>
      <c r="CC20" s="812">
        <f t="shared" ref="CC20" si="128">+(CC13*0.7+CB13*0.1+CD13*0.2)/(1+$D16)*$D18</f>
        <v>195901.6456460107</v>
      </c>
      <c r="CD20" s="812">
        <f t="shared" ref="CD20" si="129">+(CD13*0.7+CC13*0.1+CE13*0.2)/(1+$D16)*$D18</f>
        <v>192067.22395172177</v>
      </c>
      <c r="CE20" s="812">
        <f t="shared" ref="CE20" si="130">+(CE13*0.7+CD13*0.1+CF13*0.2)/(1+$D16)*$D18</f>
        <v>183214.78162105134</v>
      </c>
      <c r="CF20" s="812">
        <f t="shared" ref="CF20" si="131">+(CF13*0.7+CE13*0.1+CG13*0.2)/(1+$D16)*$D18</f>
        <v>185163.7546475367</v>
      </c>
      <c r="CG20" s="812">
        <f t="shared" ref="CG20" si="132">+(CG13*0.7+CF13*0.1+CH13*0.2)/(1+$D16)*$D18</f>
        <v>197746.85989865873</v>
      </c>
      <c r="CH20" s="812">
        <f t="shared" ref="CH20" si="133">+(CH13*0.7+CG13*0.1+CI13*0.2)/(1+$D16)*$D18</f>
        <v>202680.00475952346</v>
      </c>
      <c r="CI20" s="812">
        <f t="shared" ref="CI20" si="134">+(CI13*0.7+CH13*0.1+CJ13*0.2)/(1+$D16)*$D18</f>
        <v>217249.49087352742</v>
      </c>
      <c r="CJ20" s="812">
        <f t="shared" ref="CJ20" si="135">+(CJ13*0.7+CI13*0.1+CK13*0.2)/(1+$D16)*$D18</f>
        <v>234941.89878981948</v>
      </c>
      <c r="CK20" s="812">
        <f>+(CK13*0.7+CJ13*0.1+CK13*0.2)/(1+$D16)*$D18</f>
        <v>207956.32836072371</v>
      </c>
      <c r="CL20" s="869">
        <f>SUM(BZ20:CK20)</f>
        <v>2388516.4388867444</v>
      </c>
      <c r="CM20" s="797"/>
      <c r="CN20" s="812">
        <f>+(CN13*0.7+CK13*0.1+CO13*0.2)/(1+$D16)*$D18</f>
        <v>204303.37189501102</v>
      </c>
      <c r="CO20" s="812">
        <f t="shared" ref="CO20" si="136">+(CO13*0.7+CN13*0.1+CP13*0.2)/(1+$D16)*$D18</f>
        <v>209920.20380491886</v>
      </c>
      <c r="CP20" s="812">
        <f t="shared" ref="CP20" si="137">+(CP13*0.7+CO13*0.1+CQ13*0.2)/(1+$D16)*$D18</f>
        <v>215921.11538404383</v>
      </c>
      <c r="CQ20" s="812">
        <f t="shared" ref="CQ20" si="138">+(CQ13*0.7+CP13*0.1+CR13*0.2)/(1+$D16)*$D18</f>
        <v>215643.31271584317</v>
      </c>
      <c r="CR20" s="812">
        <f t="shared" ref="CR20" si="139">+(CR13*0.7+CQ13*0.1+CS13*0.2)/(1+$D16)*$D18</f>
        <v>211266.78312103529</v>
      </c>
      <c r="CS20" s="812">
        <f t="shared" ref="CS20" si="140">+(CS13*0.7+CR13*0.1+CT13*0.2)/(1+$D16)*$D18</f>
        <v>201381.03311663546</v>
      </c>
      <c r="CT20" s="812">
        <f t="shared" ref="CT20" si="141">+(CT13*0.7+CS13*0.1+CU13*0.2)/(1+$D16)*$D18</f>
        <v>203372.74108509923</v>
      </c>
      <c r="CU20" s="812">
        <f t="shared" ref="CU20" si="142">+(CU13*0.7+CT13*0.1+CV13*0.2)/(1+$D16)*$D18</f>
        <v>217039.69735061852</v>
      </c>
      <c r="CV20" s="812">
        <f t="shared" ref="CV20" si="143">+(CV13*0.7+CU13*0.1+CW13*0.2)/(1+$D16)*$D18</f>
        <v>222298.5428498213</v>
      </c>
      <c r="CW20" s="812">
        <f t="shared" ref="CW20" si="144">+(CW13*0.7+CV13*0.1+CX13*0.2)/(1+$D16)*$D18</f>
        <v>238109.72748766659</v>
      </c>
      <c r="CX20" s="812">
        <f t="shared" ref="CX20" si="145">+(CX13*0.7+CW13*0.1+CY13*0.2)/(1+$D16)*$D18</f>
        <v>257334.83916260937</v>
      </c>
      <c r="CY20" s="812">
        <f>+(CY13*0.7+CX13*0.1+CY13*0.2)/(1+$D16)*$D18</f>
        <v>227655.0387980417</v>
      </c>
      <c r="CZ20" s="869">
        <f>SUM(CN20:CY20)</f>
        <v>2624246.4067713446</v>
      </c>
    </row>
    <row r="21" spans="1:104" ht="14.5" x14ac:dyDescent="0.35">
      <c r="B21" s="913"/>
      <c r="G21" s="829"/>
      <c r="T21" s="831"/>
      <c r="AH21" s="848"/>
      <c r="AV21" s="873"/>
      <c r="BJ21" s="829"/>
      <c r="BX21" s="850"/>
      <c r="BY21" s="79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M21" s="79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</row>
    <row r="22" spans="1:104" ht="14.5" x14ac:dyDescent="0.35">
      <c r="B22" s="951" t="s">
        <v>356</v>
      </c>
      <c r="C22" s="842"/>
      <c r="D22" s="843"/>
      <c r="E22" s="844"/>
      <c r="F22" s="844"/>
      <c r="G22" s="875"/>
      <c r="H22" s="844"/>
      <c r="I22" s="844"/>
      <c r="J22" s="844"/>
      <c r="K22" s="844"/>
      <c r="L22" s="844"/>
      <c r="M22" s="844"/>
      <c r="N22" s="844"/>
      <c r="O22" s="844"/>
      <c r="P22" s="844"/>
      <c r="Q22" s="844"/>
      <c r="R22" s="844"/>
      <c r="S22" s="844"/>
      <c r="T22" s="876"/>
      <c r="U22" s="924"/>
      <c r="V22" s="877"/>
      <c r="W22" s="877"/>
      <c r="X22" s="877"/>
      <c r="Y22" s="877"/>
      <c r="Z22" s="877"/>
      <c r="AA22" s="877"/>
      <c r="AB22" s="877"/>
      <c r="AC22" s="877"/>
      <c r="AD22" s="877"/>
      <c r="AE22" s="877"/>
      <c r="AF22" s="877"/>
      <c r="AG22" s="877"/>
      <c r="AH22" s="878"/>
      <c r="AI22" s="924"/>
      <c r="AJ22" s="877"/>
      <c r="AK22" s="877"/>
      <c r="AL22" s="877"/>
      <c r="AM22" s="877"/>
      <c r="AN22" s="877"/>
      <c r="AO22" s="877"/>
      <c r="AP22" s="877"/>
      <c r="AQ22" s="877"/>
      <c r="AR22" s="877"/>
      <c r="AS22" s="877"/>
      <c r="AT22" s="877"/>
      <c r="AU22" s="877"/>
      <c r="AV22" s="879"/>
      <c r="AW22" s="924"/>
      <c r="AX22" s="877"/>
      <c r="AY22" s="877"/>
      <c r="AZ22" s="877"/>
      <c r="BA22" s="877"/>
      <c r="BB22" s="877"/>
      <c r="BC22" s="877"/>
      <c r="BD22" s="877"/>
      <c r="BE22" s="877"/>
      <c r="BF22" s="877"/>
      <c r="BG22" s="877"/>
      <c r="BH22" s="877"/>
      <c r="BI22" s="877"/>
      <c r="BJ22" s="875"/>
      <c r="BK22" s="924"/>
      <c r="BL22" s="844"/>
      <c r="BM22" s="844"/>
      <c r="BN22" s="844"/>
      <c r="BO22" s="844"/>
      <c r="BP22" s="844"/>
      <c r="BQ22" s="844"/>
      <c r="BR22" s="844"/>
      <c r="BS22" s="844"/>
      <c r="BT22" s="844"/>
      <c r="BU22" s="844"/>
      <c r="BV22" s="844"/>
      <c r="BW22" s="844"/>
      <c r="BX22" s="880"/>
      <c r="BY22" s="807"/>
      <c r="BZ22" s="799"/>
      <c r="CA22" s="799"/>
      <c r="CB22" s="799"/>
      <c r="CC22" s="799"/>
      <c r="CD22" s="799"/>
      <c r="CE22" s="799"/>
      <c r="CF22" s="799"/>
      <c r="CG22" s="799"/>
      <c r="CH22" s="799"/>
      <c r="CI22" s="799"/>
      <c r="CJ22" s="799"/>
      <c r="CK22" s="799"/>
      <c r="CL22" s="845"/>
      <c r="CM22" s="807"/>
      <c r="CN22" s="799"/>
      <c r="CO22" s="799"/>
      <c r="CP22" s="799"/>
      <c r="CQ22" s="799"/>
      <c r="CR22" s="799"/>
      <c r="CS22" s="799"/>
      <c r="CT22" s="799"/>
      <c r="CU22" s="799"/>
      <c r="CV22" s="799"/>
      <c r="CW22" s="799"/>
      <c r="CX22" s="799"/>
      <c r="CY22" s="799"/>
      <c r="CZ22" s="845"/>
    </row>
    <row r="23" spans="1:104" ht="14.5" x14ac:dyDescent="0.35">
      <c r="B23" s="952" t="s">
        <v>357</v>
      </c>
      <c r="D23" s="953">
        <v>0</v>
      </c>
      <c r="E23" s="882"/>
      <c r="F23" s="882"/>
      <c r="G23" s="829"/>
      <c r="H23" s="882"/>
      <c r="I23" s="882"/>
      <c r="J23" s="882"/>
      <c r="K23" s="882"/>
      <c r="L23" s="882"/>
      <c r="M23" s="882"/>
      <c r="N23" s="882"/>
      <c r="O23" s="882"/>
      <c r="P23" s="882"/>
      <c r="Q23" s="882"/>
      <c r="R23" s="882"/>
      <c r="S23" s="882"/>
      <c r="T23" s="831"/>
      <c r="V23" s="883"/>
      <c r="W23" s="883"/>
      <c r="X23" s="883"/>
      <c r="Y23" s="883"/>
      <c r="Z23" s="883">
        <f t="shared" ref="Z23:AG23" si="146">+Z13*$D23</f>
        <v>0</v>
      </c>
      <c r="AA23" s="883">
        <f t="shared" si="146"/>
        <v>0</v>
      </c>
      <c r="AB23" s="883">
        <f t="shared" si="146"/>
        <v>0</v>
      </c>
      <c r="AC23" s="883">
        <f t="shared" si="146"/>
        <v>0</v>
      </c>
      <c r="AD23" s="883">
        <f t="shared" si="146"/>
        <v>0</v>
      </c>
      <c r="AE23" s="883">
        <f t="shared" si="146"/>
        <v>0</v>
      </c>
      <c r="AF23" s="883">
        <f t="shared" si="146"/>
        <v>0</v>
      </c>
      <c r="AG23" s="883">
        <f t="shared" si="146"/>
        <v>0</v>
      </c>
      <c r="AH23" s="848">
        <f>SUM(V23:AG23)</f>
        <v>0</v>
      </c>
      <c r="AJ23" s="883">
        <f t="shared" ref="AJ23:AU23" si="147">+AJ13*$D23</f>
        <v>0</v>
      </c>
      <c r="AK23" s="883">
        <f t="shared" si="147"/>
        <v>0</v>
      </c>
      <c r="AL23" s="883">
        <f t="shared" si="147"/>
        <v>0</v>
      </c>
      <c r="AM23" s="883">
        <f t="shared" si="147"/>
        <v>0</v>
      </c>
      <c r="AN23" s="883">
        <f t="shared" si="147"/>
        <v>0</v>
      </c>
      <c r="AO23" s="883">
        <f t="shared" si="147"/>
        <v>0</v>
      </c>
      <c r="AP23" s="883">
        <f t="shared" si="147"/>
        <v>0</v>
      </c>
      <c r="AQ23" s="883">
        <f t="shared" si="147"/>
        <v>0</v>
      </c>
      <c r="AR23" s="883">
        <f t="shared" si="147"/>
        <v>0</v>
      </c>
      <c r="AS23" s="883">
        <f t="shared" si="147"/>
        <v>0</v>
      </c>
      <c r="AT23" s="883">
        <f t="shared" si="147"/>
        <v>0</v>
      </c>
      <c r="AU23" s="883">
        <f t="shared" si="147"/>
        <v>0</v>
      </c>
      <c r="AV23" s="873">
        <f>SUM(AJ23:AU23)</f>
        <v>0</v>
      </c>
      <c r="AX23" s="883">
        <f t="shared" ref="AX23:BI23" si="148">+AX13*$D23</f>
        <v>0</v>
      </c>
      <c r="AY23" s="883">
        <f t="shared" si="148"/>
        <v>0</v>
      </c>
      <c r="AZ23" s="883">
        <f t="shared" si="148"/>
        <v>0</v>
      </c>
      <c r="BA23" s="883">
        <f t="shared" si="148"/>
        <v>0</v>
      </c>
      <c r="BB23" s="883">
        <f t="shared" si="148"/>
        <v>0</v>
      </c>
      <c r="BC23" s="883">
        <f t="shared" si="148"/>
        <v>0</v>
      </c>
      <c r="BD23" s="883">
        <f t="shared" si="148"/>
        <v>0</v>
      </c>
      <c r="BE23" s="883">
        <f t="shared" si="148"/>
        <v>0</v>
      </c>
      <c r="BF23" s="883">
        <f t="shared" si="148"/>
        <v>0</v>
      </c>
      <c r="BG23" s="883">
        <f t="shared" si="148"/>
        <v>0</v>
      </c>
      <c r="BH23" s="883">
        <f t="shared" si="148"/>
        <v>0</v>
      </c>
      <c r="BI23" s="883">
        <f t="shared" si="148"/>
        <v>0</v>
      </c>
      <c r="BJ23" s="829">
        <f>SUM(AX23:BI23)</f>
        <v>0</v>
      </c>
      <c r="BL23" s="882">
        <f t="shared" ref="BL23:BW23" si="149">+BL13*$D23</f>
        <v>0</v>
      </c>
      <c r="BM23" s="882">
        <f t="shared" si="149"/>
        <v>0</v>
      </c>
      <c r="BN23" s="882">
        <f t="shared" si="149"/>
        <v>0</v>
      </c>
      <c r="BO23" s="882">
        <f t="shared" si="149"/>
        <v>0</v>
      </c>
      <c r="BP23" s="882">
        <f t="shared" si="149"/>
        <v>0</v>
      </c>
      <c r="BQ23" s="882">
        <f t="shared" si="149"/>
        <v>0</v>
      </c>
      <c r="BR23" s="882">
        <f t="shared" si="149"/>
        <v>0</v>
      </c>
      <c r="BS23" s="882">
        <f t="shared" si="149"/>
        <v>0</v>
      </c>
      <c r="BT23" s="882">
        <f t="shared" si="149"/>
        <v>0</v>
      </c>
      <c r="BU23" s="882">
        <f t="shared" si="149"/>
        <v>0</v>
      </c>
      <c r="BV23" s="882">
        <f t="shared" si="149"/>
        <v>0</v>
      </c>
      <c r="BW23" s="882">
        <f t="shared" si="149"/>
        <v>0</v>
      </c>
      <c r="BX23" s="850">
        <f>SUM(BL23:BW23)</f>
        <v>0</v>
      </c>
      <c r="BY23" s="793"/>
      <c r="BZ23" s="800">
        <f t="shared" ref="BZ23:CK23" si="150">+BZ13*$D23</f>
        <v>0</v>
      </c>
      <c r="CA23" s="800">
        <f t="shared" si="150"/>
        <v>0</v>
      </c>
      <c r="CB23" s="800">
        <f t="shared" si="150"/>
        <v>0</v>
      </c>
      <c r="CC23" s="800">
        <f t="shared" si="150"/>
        <v>0</v>
      </c>
      <c r="CD23" s="800">
        <f t="shared" si="150"/>
        <v>0</v>
      </c>
      <c r="CE23" s="800">
        <f t="shared" si="150"/>
        <v>0</v>
      </c>
      <c r="CF23" s="800">
        <f t="shared" si="150"/>
        <v>0</v>
      </c>
      <c r="CG23" s="800">
        <f t="shared" si="150"/>
        <v>0</v>
      </c>
      <c r="CH23" s="800">
        <f t="shared" si="150"/>
        <v>0</v>
      </c>
      <c r="CI23" s="800">
        <f t="shared" si="150"/>
        <v>0</v>
      </c>
      <c r="CJ23" s="800">
        <f t="shared" si="150"/>
        <v>0</v>
      </c>
      <c r="CK23" s="800">
        <f t="shared" si="150"/>
        <v>0</v>
      </c>
      <c r="CL23" s="851">
        <f>SUM(BZ23:CK23)</f>
        <v>0</v>
      </c>
      <c r="CM23" s="793"/>
      <c r="CN23" s="800">
        <f t="shared" ref="CN23:CY23" si="151">+CN13*$D23</f>
        <v>0</v>
      </c>
      <c r="CO23" s="800">
        <f t="shared" si="151"/>
        <v>0</v>
      </c>
      <c r="CP23" s="800">
        <f t="shared" si="151"/>
        <v>0</v>
      </c>
      <c r="CQ23" s="800">
        <f t="shared" si="151"/>
        <v>0</v>
      </c>
      <c r="CR23" s="800">
        <f t="shared" si="151"/>
        <v>0</v>
      </c>
      <c r="CS23" s="800">
        <f t="shared" si="151"/>
        <v>0</v>
      </c>
      <c r="CT23" s="800">
        <f t="shared" si="151"/>
        <v>0</v>
      </c>
      <c r="CU23" s="800">
        <f t="shared" si="151"/>
        <v>0</v>
      </c>
      <c r="CV23" s="800">
        <f t="shared" si="151"/>
        <v>0</v>
      </c>
      <c r="CW23" s="800">
        <f t="shared" si="151"/>
        <v>0</v>
      </c>
      <c r="CX23" s="800">
        <f t="shared" si="151"/>
        <v>0</v>
      </c>
      <c r="CY23" s="800">
        <f t="shared" si="151"/>
        <v>0</v>
      </c>
      <c r="CZ23" s="851">
        <f>SUM(CN23:CY23)</f>
        <v>0</v>
      </c>
    </row>
    <row r="24" spans="1:104" ht="29" x14ac:dyDescent="0.35">
      <c r="A24" s="825" t="s">
        <v>358</v>
      </c>
      <c r="B24" s="952" t="s">
        <v>359</v>
      </c>
      <c r="D24" s="953">
        <v>3.5000000000000001E-3</v>
      </c>
      <c r="G24" s="829"/>
      <c r="S24" s="954">
        <v>0</v>
      </c>
      <c r="T24" s="831"/>
      <c r="Z24" s="846">
        <f t="shared" ref="Z24:AG24" si="152">+Z13*$D24</f>
        <v>0</v>
      </c>
      <c r="AA24" s="846">
        <f t="shared" si="152"/>
        <v>0</v>
      </c>
      <c r="AB24" s="846">
        <f t="shared" si="152"/>
        <v>0</v>
      </c>
      <c r="AC24" s="846">
        <f t="shared" si="152"/>
        <v>0</v>
      </c>
      <c r="AD24" s="955">
        <f t="shared" si="152"/>
        <v>283.45363199999997</v>
      </c>
      <c r="AE24" s="955">
        <f t="shared" si="152"/>
        <v>326.17804799999999</v>
      </c>
      <c r="AF24" s="846">
        <f t="shared" si="152"/>
        <v>406.04928000000012</v>
      </c>
      <c r="AG24" s="846">
        <f t="shared" si="152"/>
        <v>349.82707200000004</v>
      </c>
      <c r="AH24" s="848">
        <f>SUM(V24:AG24)</f>
        <v>1365.5080320000002</v>
      </c>
      <c r="AJ24" s="846">
        <f t="shared" ref="AJ24:AU24" si="153">+AJ13*$D24</f>
        <v>351.78312295231103</v>
      </c>
      <c r="AK24" s="846">
        <f t="shared" si="153"/>
        <v>394.4124719497558</v>
      </c>
      <c r="AL24" s="846">
        <f t="shared" si="153"/>
        <v>413.33130438323354</v>
      </c>
      <c r="AM24" s="846">
        <f t="shared" si="153"/>
        <v>448.68222045877764</v>
      </c>
      <c r="AN24" s="846">
        <f t="shared" si="153"/>
        <v>456.11331054545457</v>
      </c>
      <c r="AO24" s="846">
        <f t="shared" si="153"/>
        <v>437.36286181727161</v>
      </c>
      <c r="AP24" s="846">
        <f t="shared" si="153"/>
        <v>442.79354998890949</v>
      </c>
      <c r="AQ24" s="846">
        <f t="shared" si="153"/>
        <v>493.27542790562615</v>
      </c>
      <c r="AR24" s="846">
        <f t="shared" si="153"/>
        <v>507.49873257412889</v>
      </c>
      <c r="AS24" s="846">
        <f t="shared" si="153"/>
        <v>547.55281176595508</v>
      </c>
      <c r="AT24" s="846">
        <f t="shared" si="153"/>
        <v>658.263444467005</v>
      </c>
      <c r="AU24" s="846">
        <f t="shared" si="153"/>
        <v>554.38323186688854</v>
      </c>
      <c r="AV24" s="873">
        <f>SUM(AJ24:AU24)</f>
        <v>5705.4524906753168</v>
      </c>
      <c r="AX24" s="846">
        <f t="shared" ref="AX24:BI24" si="154">+AX13*$D24</f>
        <v>578.28068643037193</v>
      </c>
      <c r="AY24" s="846">
        <f t="shared" si="154"/>
        <v>601.71867416418786</v>
      </c>
      <c r="AZ24" s="846">
        <f t="shared" si="154"/>
        <v>631.8253459997444</v>
      </c>
      <c r="BA24" s="846">
        <f t="shared" si="154"/>
        <v>636.13390309269994</v>
      </c>
      <c r="BB24" s="846">
        <f t="shared" si="154"/>
        <v>636.31470620240657</v>
      </c>
      <c r="BC24" s="846">
        <f t="shared" si="154"/>
        <v>602.05445242494636</v>
      </c>
      <c r="BD24" s="846">
        <f t="shared" si="154"/>
        <v>606.13241491818007</v>
      </c>
      <c r="BE24" s="846">
        <f t="shared" si="154"/>
        <v>670.98193469308046</v>
      </c>
      <c r="BF24" s="846">
        <f t="shared" si="154"/>
        <v>682.55213369538444</v>
      </c>
      <c r="BG24" s="846">
        <f t="shared" si="154"/>
        <v>723.57702278072679</v>
      </c>
      <c r="BH24" s="846">
        <f t="shared" si="154"/>
        <v>855.40927355688154</v>
      </c>
      <c r="BI24" s="846">
        <f t="shared" si="154"/>
        <v>710.05701063075605</v>
      </c>
      <c r="BJ24" s="829">
        <f>SUM(AX24:BI24)</f>
        <v>7935.0375585893662</v>
      </c>
      <c r="BL24" s="828">
        <f t="shared" ref="BL24:BW24" si="155">+BL13*$D24</f>
        <v>732.81039924360346</v>
      </c>
      <c r="BM24" s="828">
        <f t="shared" si="155"/>
        <v>755.07435689762031</v>
      </c>
      <c r="BN24" s="828">
        <f t="shared" si="155"/>
        <v>785.32879666511735</v>
      </c>
      <c r="BO24" s="828">
        <f t="shared" si="155"/>
        <v>783.37835002233794</v>
      </c>
      <c r="BP24" s="828">
        <f t="shared" si="155"/>
        <v>776.54999513890925</v>
      </c>
      <c r="BQ24" s="828">
        <f t="shared" si="155"/>
        <v>728.29846889989608</v>
      </c>
      <c r="BR24" s="828">
        <f t="shared" si="155"/>
        <v>726.96763202700026</v>
      </c>
      <c r="BS24" s="828">
        <f t="shared" si="155"/>
        <v>798.04313129431591</v>
      </c>
      <c r="BT24" s="828">
        <f t="shared" si="155"/>
        <v>805.21121600531899</v>
      </c>
      <c r="BU24" s="828">
        <f t="shared" si="155"/>
        <v>846.84574441737243</v>
      </c>
      <c r="BV24" s="828">
        <f t="shared" si="155"/>
        <v>993.39724099555553</v>
      </c>
      <c r="BW24" s="828">
        <f t="shared" si="155"/>
        <v>818.37530832433117</v>
      </c>
      <c r="BX24" s="850">
        <f>SUM(BL24:BW24)</f>
        <v>9550.2806399313795</v>
      </c>
      <c r="BY24" s="793"/>
      <c r="BZ24" s="23">
        <f>+BZ13*$D24</f>
        <v>817.05462997397387</v>
      </c>
      <c r="CA24" s="23">
        <f t="shared" ref="CA24:CK24" si="156">+CA13*$D24</f>
        <v>841.07781223134634</v>
      </c>
      <c r="CB24" s="23">
        <f t="shared" si="156"/>
        <v>873.96086112668058</v>
      </c>
      <c r="CC24" s="23">
        <f t="shared" si="156"/>
        <v>870.98942161113655</v>
      </c>
      <c r="CD24" s="23">
        <f t="shared" si="156"/>
        <v>862.61750935548116</v>
      </c>
      <c r="CE24" s="23">
        <f t="shared" si="156"/>
        <v>808.29946489090275</v>
      </c>
      <c r="CF24" s="23">
        <f t="shared" si="156"/>
        <v>806.11753954938695</v>
      </c>
      <c r="CG24" s="23">
        <f t="shared" si="156"/>
        <v>884.17099447946066</v>
      </c>
      <c r="CH24" s="23">
        <f t="shared" si="156"/>
        <v>891.35842046864525</v>
      </c>
      <c r="CI24" s="23">
        <f t="shared" si="156"/>
        <v>936.66745383138652</v>
      </c>
      <c r="CJ24" s="23">
        <f t="shared" si="156"/>
        <v>1097.8636451341176</v>
      </c>
      <c r="CK24" s="23">
        <f t="shared" si="156"/>
        <v>903.70761020601208</v>
      </c>
      <c r="CL24" s="851">
        <f>SUM(BZ24:CK24)</f>
        <v>10593.885362858529</v>
      </c>
      <c r="CM24" s="793"/>
      <c r="CN24" s="23">
        <f t="shared" ref="CN24:CY24" si="157">+CN13*$D24</f>
        <v>901.53374485586448</v>
      </c>
      <c r="CO24" s="23">
        <f t="shared" si="157"/>
        <v>927.31634215659221</v>
      </c>
      <c r="CP24" s="23">
        <f t="shared" si="157"/>
        <v>962.83045349902409</v>
      </c>
      <c r="CQ24" s="23">
        <f t="shared" si="157"/>
        <v>958.83072946731238</v>
      </c>
      <c r="CR24" s="23">
        <f t="shared" si="157"/>
        <v>948.90684380799985</v>
      </c>
      <c r="CS24" s="23">
        <f t="shared" si="157"/>
        <v>888.50269755156762</v>
      </c>
      <c r="CT24" s="23">
        <f t="shared" si="157"/>
        <v>885.46372535181331</v>
      </c>
      <c r="CU24" s="23">
        <f t="shared" si="157"/>
        <v>970.50840243043911</v>
      </c>
      <c r="CV24" s="23">
        <f t="shared" si="157"/>
        <v>977.71127977030949</v>
      </c>
      <c r="CW24" s="23">
        <f t="shared" si="157"/>
        <v>1026.6995877188779</v>
      </c>
      <c r="CX24" s="23">
        <f t="shared" si="157"/>
        <v>1202.5702424591782</v>
      </c>
      <c r="CY24" s="23">
        <f t="shared" si="157"/>
        <v>989.2324950450128</v>
      </c>
      <c r="CZ24" s="851">
        <f>SUM(CN24:CY24)</f>
        <v>11640.106544113991</v>
      </c>
    </row>
    <row r="25" spans="1:104" ht="14.5" x14ac:dyDescent="0.35">
      <c r="B25" s="956" t="s">
        <v>360</v>
      </c>
      <c r="C25" s="866"/>
      <c r="D25" s="866"/>
      <c r="E25" s="868"/>
      <c r="F25" s="868"/>
      <c r="G25" s="869"/>
      <c r="H25" s="868"/>
      <c r="I25" s="868"/>
      <c r="J25" s="868"/>
      <c r="K25" s="868"/>
      <c r="L25" s="868"/>
      <c r="M25" s="868"/>
      <c r="N25" s="868"/>
      <c r="O25" s="868"/>
      <c r="P25" s="868"/>
      <c r="Q25" s="868"/>
      <c r="R25" s="868"/>
      <c r="S25" s="868"/>
      <c r="T25" s="869"/>
      <c r="U25" s="870"/>
      <c r="V25" s="871"/>
      <c r="W25" s="871"/>
      <c r="X25" s="871"/>
      <c r="Y25" s="871"/>
      <c r="Z25" s="871">
        <f t="shared" ref="Z25:AG25" si="158">SUM(Z22:Z24)</f>
        <v>0</v>
      </c>
      <c r="AA25" s="871">
        <f t="shared" si="158"/>
        <v>0</v>
      </c>
      <c r="AB25" s="871">
        <f t="shared" si="158"/>
        <v>0</v>
      </c>
      <c r="AC25" s="871">
        <f t="shared" si="158"/>
        <v>0</v>
      </c>
      <c r="AD25" s="871">
        <f t="shared" si="158"/>
        <v>283.45363199999997</v>
      </c>
      <c r="AE25" s="871">
        <f t="shared" si="158"/>
        <v>326.17804799999999</v>
      </c>
      <c r="AF25" s="871">
        <f t="shared" si="158"/>
        <v>406.04928000000012</v>
      </c>
      <c r="AG25" s="871">
        <f t="shared" si="158"/>
        <v>349.82707200000004</v>
      </c>
      <c r="AH25" s="869">
        <f>SUM(V25:AG25)</f>
        <v>1365.5080320000002</v>
      </c>
      <c r="AI25" s="870"/>
      <c r="AJ25" s="871">
        <f t="shared" ref="AJ25:AU25" si="159">SUM(AJ22:AJ24)</f>
        <v>351.78312295231103</v>
      </c>
      <c r="AK25" s="871">
        <f t="shared" si="159"/>
        <v>394.4124719497558</v>
      </c>
      <c r="AL25" s="871">
        <f t="shared" si="159"/>
        <v>413.33130438323354</v>
      </c>
      <c r="AM25" s="871">
        <f t="shared" si="159"/>
        <v>448.68222045877764</v>
      </c>
      <c r="AN25" s="871">
        <f t="shared" si="159"/>
        <v>456.11331054545457</v>
      </c>
      <c r="AO25" s="871">
        <f t="shared" si="159"/>
        <v>437.36286181727161</v>
      </c>
      <c r="AP25" s="871">
        <f t="shared" si="159"/>
        <v>442.79354998890949</v>
      </c>
      <c r="AQ25" s="871">
        <f t="shared" si="159"/>
        <v>493.27542790562615</v>
      </c>
      <c r="AR25" s="871">
        <f t="shared" si="159"/>
        <v>507.49873257412889</v>
      </c>
      <c r="AS25" s="871">
        <f t="shared" si="159"/>
        <v>547.55281176595508</v>
      </c>
      <c r="AT25" s="871">
        <f t="shared" si="159"/>
        <v>658.263444467005</v>
      </c>
      <c r="AU25" s="871">
        <f t="shared" si="159"/>
        <v>554.38323186688854</v>
      </c>
      <c r="AV25" s="869">
        <f>SUM(AJ25:AU25)</f>
        <v>5705.4524906753168</v>
      </c>
      <c r="AW25" s="870"/>
      <c r="AX25" s="871">
        <f t="shared" ref="AX25:BI25" si="160">+AX23+AX24</f>
        <v>578.28068643037193</v>
      </c>
      <c r="AY25" s="871">
        <f t="shared" si="160"/>
        <v>601.71867416418786</v>
      </c>
      <c r="AZ25" s="871">
        <f t="shared" si="160"/>
        <v>631.8253459997444</v>
      </c>
      <c r="BA25" s="871">
        <f t="shared" si="160"/>
        <v>636.13390309269994</v>
      </c>
      <c r="BB25" s="871">
        <f t="shared" si="160"/>
        <v>636.31470620240657</v>
      </c>
      <c r="BC25" s="871">
        <f t="shared" si="160"/>
        <v>602.05445242494636</v>
      </c>
      <c r="BD25" s="871">
        <f t="shared" si="160"/>
        <v>606.13241491818007</v>
      </c>
      <c r="BE25" s="871">
        <f t="shared" si="160"/>
        <v>670.98193469308046</v>
      </c>
      <c r="BF25" s="871">
        <f t="shared" si="160"/>
        <v>682.55213369538444</v>
      </c>
      <c r="BG25" s="871">
        <f t="shared" si="160"/>
        <v>723.57702278072679</v>
      </c>
      <c r="BH25" s="871">
        <f t="shared" si="160"/>
        <v>855.40927355688154</v>
      </c>
      <c r="BI25" s="871">
        <f t="shared" si="160"/>
        <v>710.05701063075605</v>
      </c>
      <c r="BJ25" s="869">
        <f>SUM(AX25:BI25)</f>
        <v>7935.0375585893662</v>
      </c>
      <c r="BK25" s="870"/>
      <c r="BL25" s="868">
        <f t="shared" ref="BL25:BW25" si="161">+BL23+BL24</f>
        <v>732.81039924360346</v>
      </c>
      <c r="BM25" s="868">
        <f t="shared" si="161"/>
        <v>755.07435689762031</v>
      </c>
      <c r="BN25" s="868">
        <f t="shared" si="161"/>
        <v>785.32879666511735</v>
      </c>
      <c r="BO25" s="868">
        <f t="shared" si="161"/>
        <v>783.37835002233794</v>
      </c>
      <c r="BP25" s="868">
        <f t="shared" si="161"/>
        <v>776.54999513890925</v>
      </c>
      <c r="BQ25" s="868">
        <f t="shared" si="161"/>
        <v>728.29846889989608</v>
      </c>
      <c r="BR25" s="868">
        <f t="shared" si="161"/>
        <v>726.96763202700026</v>
      </c>
      <c r="BS25" s="868">
        <f t="shared" si="161"/>
        <v>798.04313129431591</v>
      </c>
      <c r="BT25" s="868">
        <f t="shared" si="161"/>
        <v>805.21121600531899</v>
      </c>
      <c r="BU25" s="868">
        <f t="shared" si="161"/>
        <v>846.84574441737243</v>
      </c>
      <c r="BV25" s="868">
        <f t="shared" si="161"/>
        <v>993.39724099555553</v>
      </c>
      <c r="BW25" s="868">
        <f t="shared" si="161"/>
        <v>818.37530832433117</v>
      </c>
      <c r="BX25" s="869">
        <f>SUM(BL25:BW25)</f>
        <v>9550.2806399313795</v>
      </c>
      <c r="BY25" s="797"/>
      <c r="BZ25" s="798">
        <f t="shared" ref="BZ25:CK25" si="162">+BZ23+BZ24</f>
        <v>817.05462997397387</v>
      </c>
      <c r="CA25" s="798">
        <f t="shared" si="162"/>
        <v>841.07781223134634</v>
      </c>
      <c r="CB25" s="798">
        <f t="shared" si="162"/>
        <v>873.96086112668058</v>
      </c>
      <c r="CC25" s="798">
        <f t="shared" si="162"/>
        <v>870.98942161113655</v>
      </c>
      <c r="CD25" s="798">
        <f t="shared" si="162"/>
        <v>862.61750935548116</v>
      </c>
      <c r="CE25" s="798">
        <f t="shared" si="162"/>
        <v>808.29946489090275</v>
      </c>
      <c r="CF25" s="798">
        <f t="shared" si="162"/>
        <v>806.11753954938695</v>
      </c>
      <c r="CG25" s="798">
        <f t="shared" si="162"/>
        <v>884.17099447946066</v>
      </c>
      <c r="CH25" s="798">
        <f t="shared" si="162"/>
        <v>891.35842046864525</v>
      </c>
      <c r="CI25" s="798">
        <f t="shared" si="162"/>
        <v>936.66745383138652</v>
      </c>
      <c r="CJ25" s="798">
        <f t="shared" si="162"/>
        <v>1097.8636451341176</v>
      </c>
      <c r="CK25" s="798">
        <f t="shared" si="162"/>
        <v>903.70761020601208</v>
      </c>
      <c r="CL25" s="869">
        <f>SUM(BZ25:CK25)</f>
        <v>10593.885362858529</v>
      </c>
      <c r="CM25" s="797"/>
      <c r="CN25" s="798">
        <f t="shared" ref="CN25:CY25" si="163">+CN23+CN24</f>
        <v>901.53374485586448</v>
      </c>
      <c r="CO25" s="798">
        <f t="shared" si="163"/>
        <v>927.31634215659221</v>
      </c>
      <c r="CP25" s="798">
        <f t="shared" si="163"/>
        <v>962.83045349902409</v>
      </c>
      <c r="CQ25" s="798">
        <f t="shared" si="163"/>
        <v>958.83072946731238</v>
      </c>
      <c r="CR25" s="798">
        <f t="shared" si="163"/>
        <v>948.90684380799985</v>
      </c>
      <c r="CS25" s="798">
        <f t="shared" si="163"/>
        <v>888.50269755156762</v>
      </c>
      <c r="CT25" s="798">
        <f t="shared" si="163"/>
        <v>885.46372535181331</v>
      </c>
      <c r="CU25" s="798">
        <f t="shared" si="163"/>
        <v>970.50840243043911</v>
      </c>
      <c r="CV25" s="798">
        <f t="shared" si="163"/>
        <v>977.71127977030949</v>
      </c>
      <c r="CW25" s="798">
        <f t="shared" si="163"/>
        <v>1026.6995877188779</v>
      </c>
      <c r="CX25" s="798">
        <f t="shared" si="163"/>
        <v>1202.5702424591782</v>
      </c>
      <c r="CY25" s="798">
        <f t="shared" si="163"/>
        <v>989.2324950450128</v>
      </c>
      <c r="CZ25" s="869">
        <f>SUM(CN25:CY25)</f>
        <v>11640.106544113991</v>
      </c>
    </row>
    <row r="26" spans="1:104" ht="14.5" x14ac:dyDescent="0.35">
      <c r="G26" s="829"/>
      <c r="T26" s="831"/>
      <c r="AH26" s="848"/>
      <c r="AV26" s="873"/>
      <c r="BJ26" s="829"/>
      <c r="BX26" s="850"/>
      <c r="BY26" s="79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M26" s="79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</row>
    <row r="27" spans="1:104" ht="14.5" x14ac:dyDescent="0.35">
      <c r="B27" s="841" t="s">
        <v>361</v>
      </c>
      <c r="C27" s="842"/>
      <c r="D27" s="843"/>
      <c r="E27" s="957">
        <f>E28/E3</f>
        <v>9.5294117647058822</v>
      </c>
      <c r="F27" s="957">
        <f>F28/F3</f>
        <v>9.4036458333333339</v>
      </c>
      <c r="G27" s="958">
        <f>F27</f>
        <v>9.4036458333333339</v>
      </c>
      <c r="H27" s="957">
        <f t="shared" ref="H27:S27" si="164">H28/H3</f>
        <v>9.6464088397790047</v>
      </c>
      <c r="I27" s="957">
        <f t="shared" si="164"/>
        <v>9.348993288590604</v>
      </c>
      <c r="J27" s="957">
        <f t="shared" si="164"/>
        <v>9.1555118110236222</v>
      </c>
      <c r="K27" s="957">
        <f t="shared" si="164"/>
        <v>9.1494252873563227</v>
      </c>
      <c r="L27" s="957">
        <f t="shared" si="164"/>
        <v>9.1494252873563227</v>
      </c>
      <c r="M27" s="957">
        <f t="shared" si="164"/>
        <v>9.120578778135048</v>
      </c>
      <c r="N27" s="957">
        <f t="shared" si="164"/>
        <v>9.120578778135048</v>
      </c>
      <c r="O27" s="957">
        <f t="shared" si="164"/>
        <v>9.0206185567010309</v>
      </c>
      <c r="P27" s="957">
        <f t="shared" si="164"/>
        <v>8.9651810584958209</v>
      </c>
      <c r="Q27" s="957">
        <f t="shared" si="164"/>
        <v>8.6091015169194858</v>
      </c>
      <c r="R27" s="957">
        <f t="shared" si="164"/>
        <v>8.572571428571429</v>
      </c>
      <c r="S27" s="957">
        <f t="shared" si="164"/>
        <v>8.6802721088435373</v>
      </c>
      <c r="T27" s="959">
        <f>S27</f>
        <v>8.6802721088435373</v>
      </c>
      <c r="U27" s="924"/>
      <c r="V27" s="957">
        <f>V28/V3</f>
        <v>8.5827814569536418</v>
      </c>
      <c r="W27" s="957">
        <f>W28/W3</f>
        <v>8.580818965517242</v>
      </c>
      <c r="X27" s="957">
        <f>X28/X3</f>
        <v>8.5450733752620547</v>
      </c>
      <c r="Y27" s="960">
        <f t="shared" ref="Y27:AH27" si="165">X27</f>
        <v>8.5450733752620547</v>
      </c>
      <c r="Z27" s="960">
        <f t="shared" si="165"/>
        <v>8.5450733752620547</v>
      </c>
      <c r="AA27" s="960">
        <f t="shared" si="165"/>
        <v>8.5450733752620547</v>
      </c>
      <c r="AB27" s="960">
        <f t="shared" si="165"/>
        <v>8.5450733752620547</v>
      </c>
      <c r="AC27" s="960">
        <f t="shared" si="165"/>
        <v>8.5450733752620547</v>
      </c>
      <c r="AD27" s="960">
        <f t="shared" si="165"/>
        <v>8.5450733752620547</v>
      </c>
      <c r="AE27" s="960">
        <f t="shared" si="165"/>
        <v>8.5450733752620547</v>
      </c>
      <c r="AF27" s="961">
        <f t="shared" si="165"/>
        <v>8.5450733752620547</v>
      </c>
      <c r="AG27" s="961">
        <f t="shared" si="165"/>
        <v>8.5450733752620547</v>
      </c>
      <c r="AH27" s="962">
        <f t="shared" si="165"/>
        <v>8.5450733752620547</v>
      </c>
      <c r="AI27" s="924"/>
      <c r="AJ27" s="961">
        <v>7.97</v>
      </c>
      <c r="AK27" s="961">
        <f>AJ27-0.05</f>
        <v>7.92</v>
      </c>
      <c r="AL27" s="961">
        <f>AK27-0.03</f>
        <v>7.89</v>
      </c>
      <c r="AM27" s="961">
        <f t="shared" ref="AM27:AV27" si="166">AL27</f>
        <v>7.89</v>
      </c>
      <c r="AN27" s="961">
        <f t="shared" si="166"/>
        <v>7.89</v>
      </c>
      <c r="AO27" s="961">
        <f t="shared" si="166"/>
        <v>7.89</v>
      </c>
      <c r="AP27" s="961">
        <f t="shared" si="166"/>
        <v>7.89</v>
      </c>
      <c r="AQ27" s="961">
        <f t="shared" si="166"/>
        <v>7.89</v>
      </c>
      <c r="AR27" s="961">
        <f t="shared" si="166"/>
        <v>7.89</v>
      </c>
      <c r="AS27" s="961">
        <f t="shared" si="166"/>
        <v>7.89</v>
      </c>
      <c r="AT27" s="961">
        <f t="shared" si="166"/>
        <v>7.89</v>
      </c>
      <c r="AU27" s="961">
        <f t="shared" si="166"/>
        <v>7.89</v>
      </c>
      <c r="AV27" s="963">
        <f t="shared" si="166"/>
        <v>7.89</v>
      </c>
      <c r="AW27" s="924"/>
      <c r="AX27" s="961">
        <f>AU27</f>
        <v>7.89</v>
      </c>
      <c r="AY27" s="961">
        <f t="shared" ref="AY27:BJ27" si="167">AX27</f>
        <v>7.89</v>
      </c>
      <c r="AZ27" s="961">
        <f t="shared" si="167"/>
        <v>7.89</v>
      </c>
      <c r="BA27" s="961">
        <f t="shared" si="167"/>
        <v>7.89</v>
      </c>
      <c r="BB27" s="961">
        <f t="shared" si="167"/>
        <v>7.89</v>
      </c>
      <c r="BC27" s="961">
        <f t="shared" si="167"/>
        <v>7.89</v>
      </c>
      <c r="BD27" s="961">
        <f t="shared" si="167"/>
        <v>7.89</v>
      </c>
      <c r="BE27" s="961">
        <f t="shared" si="167"/>
        <v>7.89</v>
      </c>
      <c r="BF27" s="961">
        <f t="shared" si="167"/>
        <v>7.89</v>
      </c>
      <c r="BG27" s="961">
        <f t="shared" si="167"/>
        <v>7.89</v>
      </c>
      <c r="BH27" s="961">
        <f t="shared" si="167"/>
        <v>7.89</v>
      </c>
      <c r="BI27" s="961">
        <f t="shared" si="167"/>
        <v>7.89</v>
      </c>
      <c r="BJ27" s="958">
        <f t="shared" si="167"/>
        <v>7.89</v>
      </c>
      <c r="BK27" s="924"/>
      <c r="BL27" s="957">
        <f>BI27</f>
        <v>7.89</v>
      </c>
      <c r="BM27" s="957">
        <f t="shared" ref="BM27:BX27" si="168">BL27</f>
        <v>7.89</v>
      </c>
      <c r="BN27" s="957">
        <f t="shared" si="168"/>
        <v>7.89</v>
      </c>
      <c r="BO27" s="957">
        <f t="shared" si="168"/>
        <v>7.89</v>
      </c>
      <c r="BP27" s="957">
        <f t="shared" si="168"/>
        <v>7.89</v>
      </c>
      <c r="BQ27" s="957">
        <f t="shared" si="168"/>
        <v>7.89</v>
      </c>
      <c r="BR27" s="957">
        <f t="shared" si="168"/>
        <v>7.89</v>
      </c>
      <c r="BS27" s="957">
        <f t="shared" si="168"/>
        <v>7.89</v>
      </c>
      <c r="BT27" s="957">
        <f t="shared" si="168"/>
        <v>7.89</v>
      </c>
      <c r="BU27" s="957">
        <f t="shared" si="168"/>
        <v>7.89</v>
      </c>
      <c r="BV27" s="957">
        <f t="shared" si="168"/>
        <v>7.89</v>
      </c>
      <c r="BW27" s="957">
        <f t="shared" si="168"/>
        <v>7.89</v>
      </c>
      <c r="BX27" s="964">
        <f t="shared" si="168"/>
        <v>7.89</v>
      </c>
      <c r="BY27" s="807"/>
      <c r="BZ27" s="813">
        <f>BW27</f>
        <v>7.89</v>
      </c>
      <c r="CA27" s="813">
        <f t="shared" ref="CA27" si="169">BZ27</f>
        <v>7.89</v>
      </c>
      <c r="CB27" s="813">
        <f t="shared" ref="CB27" si="170">CA27</f>
        <v>7.89</v>
      </c>
      <c r="CC27" s="813">
        <f t="shared" ref="CC27" si="171">CB27</f>
        <v>7.89</v>
      </c>
      <c r="CD27" s="813">
        <f t="shared" ref="CD27" si="172">CC27</f>
        <v>7.89</v>
      </c>
      <c r="CE27" s="813">
        <f t="shared" ref="CE27" si="173">CD27</f>
        <v>7.89</v>
      </c>
      <c r="CF27" s="813">
        <f t="shared" ref="CF27" si="174">CE27</f>
        <v>7.89</v>
      </c>
      <c r="CG27" s="813">
        <f t="shared" ref="CG27" si="175">CF27</f>
        <v>7.89</v>
      </c>
      <c r="CH27" s="813">
        <f t="shared" ref="CH27" si="176">CG27</f>
        <v>7.89</v>
      </c>
      <c r="CI27" s="813">
        <f t="shared" ref="CI27" si="177">CH27</f>
        <v>7.89</v>
      </c>
      <c r="CJ27" s="813">
        <f t="shared" ref="CJ27" si="178">CI27</f>
        <v>7.89</v>
      </c>
      <c r="CK27" s="813">
        <f t="shared" ref="CK27" si="179">CJ27</f>
        <v>7.89</v>
      </c>
      <c r="CL27" s="1014">
        <f t="shared" ref="CL27" si="180">CK27</f>
        <v>7.89</v>
      </c>
      <c r="CM27" s="807"/>
      <c r="CN27" s="813">
        <f>CK27</f>
        <v>7.89</v>
      </c>
      <c r="CO27" s="813">
        <f t="shared" ref="CO27" si="181">CN27</f>
        <v>7.89</v>
      </c>
      <c r="CP27" s="813">
        <f t="shared" ref="CP27" si="182">CO27</f>
        <v>7.89</v>
      </c>
      <c r="CQ27" s="813">
        <f t="shared" ref="CQ27" si="183">CP27</f>
        <v>7.89</v>
      </c>
      <c r="CR27" s="813">
        <f t="shared" ref="CR27" si="184">CQ27</f>
        <v>7.89</v>
      </c>
      <c r="CS27" s="813">
        <f t="shared" ref="CS27" si="185">CR27</f>
        <v>7.89</v>
      </c>
      <c r="CT27" s="813">
        <f t="shared" ref="CT27" si="186">CS27</f>
        <v>7.89</v>
      </c>
      <c r="CU27" s="813">
        <f t="shared" ref="CU27" si="187">CT27</f>
        <v>7.89</v>
      </c>
      <c r="CV27" s="813">
        <f t="shared" ref="CV27" si="188">CU27</f>
        <v>7.89</v>
      </c>
      <c r="CW27" s="813">
        <f t="shared" ref="CW27" si="189">CV27</f>
        <v>7.89</v>
      </c>
      <c r="CX27" s="813">
        <f t="shared" ref="CX27" si="190">CW27</f>
        <v>7.89</v>
      </c>
      <c r="CY27" s="813">
        <f t="shared" ref="CY27" si="191">CX27</f>
        <v>7.89</v>
      </c>
      <c r="CZ27" s="1014">
        <f t="shared" ref="CZ27" si="192">CY27</f>
        <v>7.89</v>
      </c>
    </row>
    <row r="28" spans="1:104" ht="14.5" x14ac:dyDescent="0.35">
      <c r="B28" s="895" t="s">
        <v>362</v>
      </c>
      <c r="C28" s="896"/>
      <c r="D28" s="896"/>
      <c r="E28" s="954">
        <v>3402</v>
      </c>
      <c r="F28" s="965">
        <v>3611</v>
      </c>
      <c r="G28" s="829">
        <f>F28</f>
        <v>3611</v>
      </c>
      <c r="H28" s="954">
        <v>3492</v>
      </c>
      <c r="I28" s="954">
        <v>4179</v>
      </c>
      <c r="J28" s="954">
        <v>4651</v>
      </c>
      <c r="K28" s="954">
        <v>5572</v>
      </c>
      <c r="L28" s="954">
        <v>5572</v>
      </c>
      <c r="M28" s="954">
        <v>5673</v>
      </c>
      <c r="N28" s="954">
        <v>5673</v>
      </c>
      <c r="O28" s="954">
        <v>6125</v>
      </c>
      <c r="P28" s="954">
        <v>6437</v>
      </c>
      <c r="Q28" s="954">
        <v>7378</v>
      </c>
      <c r="R28" s="954">
        <v>7501</v>
      </c>
      <c r="S28" s="954">
        <v>7656</v>
      </c>
      <c r="T28" s="831">
        <f>S28</f>
        <v>7656</v>
      </c>
      <c r="V28" s="954">
        <v>7776</v>
      </c>
      <c r="W28" s="954">
        <v>7963</v>
      </c>
      <c r="X28" s="954">
        <v>8152</v>
      </c>
      <c r="Y28" s="966">
        <f t="shared" ref="Y28:AG28" si="193">ROUND(Y3*Y27,0)</f>
        <v>8255</v>
      </c>
      <c r="Z28" s="966">
        <f t="shared" si="193"/>
        <v>8545</v>
      </c>
      <c r="AA28" s="966">
        <f t="shared" si="193"/>
        <v>8631</v>
      </c>
      <c r="AB28" s="966">
        <f t="shared" si="193"/>
        <v>8716</v>
      </c>
      <c r="AC28" s="966">
        <f t="shared" si="193"/>
        <v>8887</v>
      </c>
      <c r="AD28" s="966">
        <f t="shared" si="193"/>
        <v>9912</v>
      </c>
      <c r="AE28" s="966">
        <f t="shared" si="193"/>
        <v>10596</v>
      </c>
      <c r="AF28" s="828">
        <f t="shared" si="193"/>
        <v>11109</v>
      </c>
      <c r="AG28" s="828">
        <f t="shared" si="193"/>
        <v>11536</v>
      </c>
      <c r="AH28" s="848">
        <f>AG28</f>
        <v>11536</v>
      </c>
      <c r="AJ28" s="915">
        <f t="shared" ref="AJ28:AU28" si="194">ROUND(AJ3*AJ27,0)</f>
        <v>10863</v>
      </c>
      <c r="AK28" s="915">
        <f t="shared" si="194"/>
        <v>11349</v>
      </c>
      <c r="AL28" s="915">
        <f t="shared" si="194"/>
        <v>11859</v>
      </c>
      <c r="AM28" s="915">
        <f t="shared" si="194"/>
        <v>12135</v>
      </c>
      <c r="AN28" s="915">
        <f t="shared" si="194"/>
        <v>12411</v>
      </c>
      <c r="AO28" s="915">
        <f t="shared" si="194"/>
        <v>12608</v>
      </c>
      <c r="AP28" s="915">
        <f t="shared" si="194"/>
        <v>12805</v>
      </c>
      <c r="AQ28" s="915">
        <f t="shared" si="194"/>
        <v>13042</v>
      </c>
      <c r="AR28" s="915">
        <f t="shared" si="194"/>
        <v>13358</v>
      </c>
      <c r="AS28" s="915">
        <f t="shared" si="194"/>
        <v>13673</v>
      </c>
      <c r="AT28" s="915">
        <f t="shared" si="194"/>
        <v>13989</v>
      </c>
      <c r="AU28" s="915">
        <f t="shared" si="194"/>
        <v>14226</v>
      </c>
      <c r="AV28" s="921">
        <f>AU28</f>
        <v>14226</v>
      </c>
      <c r="AW28" s="918"/>
      <c r="AX28" s="915">
        <f t="shared" ref="AX28:BI28" si="195">ROUND(AX3*AX27,0)</f>
        <v>14423</v>
      </c>
      <c r="AY28" s="915">
        <f t="shared" si="195"/>
        <v>14620</v>
      </c>
      <c r="AZ28" s="915">
        <f t="shared" si="195"/>
        <v>14817</v>
      </c>
      <c r="BA28" s="915">
        <f t="shared" si="195"/>
        <v>15015</v>
      </c>
      <c r="BB28" s="915">
        <f t="shared" si="195"/>
        <v>15212</v>
      </c>
      <c r="BC28" s="915">
        <f t="shared" si="195"/>
        <v>15409</v>
      </c>
      <c r="BD28" s="915">
        <f t="shared" si="195"/>
        <v>15606</v>
      </c>
      <c r="BE28" s="915">
        <f t="shared" si="195"/>
        <v>15804</v>
      </c>
      <c r="BF28" s="915">
        <f t="shared" si="195"/>
        <v>16001</v>
      </c>
      <c r="BG28" s="915">
        <f t="shared" si="195"/>
        <v>16198</v>
      </c>
      <c r="BH28" s="915">
        <f t="shared" si="195"/>
        <v>16395</v>
      </c>
      <c r="BI28" s="915">
        <f t="shared" si="195"/>
        <v>16593</v>
      </c>
      <c r="BJ28" s="916">
        <f>BI28</f>
        <v>16593</v>
      </c>
      <c r="BK28" s="918"/>
      <c r="BL28" s="915">
        <f t="shared" ref="BL28:BW28" si="196">ROUND(BL3*BL27,0)</f>
        <v>16711</v>
      </c>
      <c r="BM28" s="915">
        <f t="shared" si="196"/>
        <v>16829</v>
      </c>
      <c r="BN28" s="915">
        <f t="shared" si="196"/>
        <v>16948</v>
      </c>
      <c r="BO28" s="915">
        <f t="shared" si="196"/>
        <v>17066</v>
      </c>
      <c r="BP28" s="915">
        <f t="shared" si="196"/>
        <v>17184</v>
      </c>
      <c r="BQ28" s="915">
        <f t="shared" si="196"/>
        <v>17303</v>
      </c>
      <c r="BR28" s="915">
        <f t="shared" si="196"/>
        <v>17421</v>
      </c>
      <c r="BS28" s="915">
        <f t="shared" si="196"/>
        <v>17539</v>
      </c>
      <c r="BT28" s="915">
        <f t="shared" si="196"/>
        <v>17658</v>
      </c>
      <c r="BU28" s="915">
        <f t="shared" si="196"/>
        <v>17776</v>
      </c>
      <c r="BV28" s="915">
        <f t="shared" si="196"/>
        <v>17895</v>
      </c>
      <c r="BW28" s="915">
        <f t="shared" si="196"/>
        <v>18013</v>
      </c>
      <c r="BX28" s="922">
        <f>BW28</f>
        <v>18013</v>
      </c>
      <c r="BY28" s="805"/>
      <c r="BZ28" s="806">
        <f>ROUND(BZ3*BZ27,0)</f>
        <v>18131</v>
      </c>
      <c r="CA28" s="806">
        <f t="shared" ref="CA28:CK28" si="197">ROUND(CA3*CA27,0)</f>
        <v>18250</v>
      </c>
      <c r="CB28" s="806">
        <f t="shared" si="197"/>
        <v>18368</v>
      </c>
      <c r="CC28" s="806">
        <f t="shared" si="197"/>
        <v>18486</v>
      </c>
      <c r="CD28" s="806">
        <f t="shared" si="197"/>
        <v>18605</v>
      </c>
      <c r="CE28" s="806">
        <f t="shared" si="197"/>
        <v>18723</v>
      </c>
      <c r="CF28" s="806">
        <f t="shared" si="197"/>
        <v>18841</v>
      </c>
      <c r="CG28" s="806">
        <f t="shared" si="197"/>
        <v>18960</v>
      </c>
      <c r="CH28" s="806">
        <f t="shared" si="197"/>
        <v>19078</v>
      </c>
      <c r="CI28" s="806">
        <f t="shared" si="197"/>
        <v>19196</v>
      </c>
      <c r="CJ28" s="806">
        <f t="shared" si="197"/>
        <v>19315</v>
      </c>
      <c r="CK28" s="806">
        <f t="shared" si="197"/>
        <v>19433</v>
      </c>
      <c r="CL28" s="1012">
        <f>CK28</f>
        <v>19433</v>
      </c>
      <c r="CM28" s="805"/>
      <c r="CN28" s="806">
        <f t="shared" ref="CN28:CY28" si="198">ROUND(CN3*CN27,0)</f>
        <v>19551</v>
      </c>
      <c r="CO28" s="806">
        <f t="shared" si="198"/>
        <v>19670</v>
      </c>
      <c r="CP28" s="806">
        <f t="shared" si="198"/>
        <v>19788</v>
      </c>
      <c r="CQ28" s="806">
        <f t="shared" si="198"/>
        <v>19906</v>
      </c>
      <c r="CR28" s="806">
        <f t="shared" si="198"/>
        <v>20025</v>
      </c>
      <c r="CS28" s="806">
        <f t="shared" si="198"/>
        <v>20143</v>
      </c>
      <c r="CT28" s="806">
        <f t="shared" si="198"/>
        <v>20262</v>
      </c>
      <c r="CU28" s="806">
        <f t="shared" si="198"/>
        <v>20380</v>
      </c>
      <c r="CV28" s="806">
        <f t="shared" si="198"/>
        <v>20498</v>
      </c>
      <c r="CW28" s="806">
        <f t="shared" si="198"/>
        <v>20617</v>
      </c>
      <c r="CX28" s="806">
        <f t="shared" si="198"/>
        <v>20735</v>
      </c>
      <c r="CY28" s="806">
        <f t="shared" si="198"/>
        <v>20853</v>
      </c>
      <c r="CZ28" s="1012">
        <f>CY28</f>
        <v>20853</v>
      </c>
    </row>
    <row r="29" spans="1:104" ht="14.5" x14ac:dyDescent="0.35">
      <c r="B29" s="861" t="s">
        <v>363</v>
      </c>
      <c r="D29" s="881">
        <v>20</v>
      </c>
      <c r="E29" s="898">
        <f>E28*$D29</f>
        <v>68040</v>
      </c>
      <c r="F29" s="898">
        <f>F28*$D29</f>
        <v>72220</v>
      </c>
      <c r="G29" s="829">
        <f>F29</f>
        <v>72220</v>
      </c>
      <c r="H29" s="898">
        <f t="shared" ref="H29:S29" si="199">H28*$D29</f>
        <v>69840</v>
      </c>
      <c r="I29" s="898">
        <f t="shared" si="199"/>
        <v>83580</v>
      </c>
      <c r="J29" s="898">
        <f t="shared" si="199"/>
        <v>93020</v>
      </c>
      <c r="K29" s="898">
        <f t="shared" si="199"/>
        <v>111440</v>
      </c>
      <c r="L29" s="898">
        <f t="shared" si="199"/>
        <v>111440</v>
      </c>
      <c r="M29" s="898">
        <f t="shared" si="199"/>
        <v>113460</v>
      </c>
      <c r="N29" s="898">
        <f t="shared" si="199"/>
        <v>113460</v>
      </c>
      <c r="O29" s="898">
        <f t="shared" si="199"/>
        <v>122500</v>
      </c>
      <c r="P29" s="898">
        <f t="shared" si="199"/>
        <v>128740</v>
      </c>
      <c r="Q29" s="898">
        <f t="shared" si="199"/>
        <v>147560</v>
      </c>
      <c r="R29" s="898">
        <f t="shared" si="199"/>
        <v>150020</v>
      </c>
      <c r="S29" s="898">
        <f t="shared" si="199"/>
        <v>153120</v>
      </c>
      <c r="T29" s="831">
        <f>S29</f>
        <v>153120</v>
      </c>
      <c r="V29" s="899">
        <f t="shared" ref="V29:AG29" si="200">V28*$D29</f>
        <v>155520</v>
      </c>
      <c r="W29" s="899">
        <f t="shared" si="200"/>
        <v>159260</v>
      </c>
      <c r="X29" s="899">
        <f t="shared" si="200"/>
        <v>163040</v>
      </c>
      <c r="Y29" s="955">
        <f t="shared" si="200"/>
        <v>165100</v>
      </c>
      <c r="Z29" s="955">
        <f t="shared" si="200"/>
        <v>170900</v>
      </c>
      <c r="AA29" s="955">
        <f t="shared" si="200"/>
        <v>172620</v>
      </c>
      <c r="AB29" s="955">
        <f t="shared" si="200"/>
        <v>174320</v>
      </c>
      <c r="AC29" s="955">
        <f t="shared" si="200"/>
        <v>177740</v>
      </c>
      <c r="AD29" s="955">
        <f t="shared" si="200"/>
        <v>198240</v>
      </c>
      <c r="AE29" s="955">
        <f t="shared" si="200"/>
        <v>211920</v>
      </c>
      <c r="AF29" s="899">
        <f t="shared" si="200"/>
        <v>222180</v>
      </c>
      <c r="AG29" s="899">
        <f t="shared" si="200"/>
        <v>230720</v>
      </c>
      <c r="AH29" s="848">
        <f>AG29</f>
        <v>230720</v>
      </c>
      <c r="AJ29" s="899">
        <f>-Saldenlisten!D249+AJ30</f>
        <v>225910</v>
      </c>
      <c r="AK29" s="899">
        <f t="shared" ref="AK29:AU29" si="201">AJ29+AJ30</f>
        <v>233880</v>
      </c>
      <c r="AL29" s="899">
        <f t="shared" si="201"/>
        <v>244968</v>
      </c>
      <c r="AM29" s="899">
        <f t="shared" si="201"/>
        <v>256014</v>
      </c>
      <c r="AN29" s="899">
        <f>AM29+AM30</f>
        <v>261537</v>
      </c>
      <c r="AO29" s="899">
        <f t="shared" si="201"/>
        <v>267060</v>
      </c>
      <c r="AP29" s="899">
        <f t="shared" si="201"/>
        <v>271005</v>
      </c>
      <c r="AQ29" s="899">
        <f t="shared" si="201"/>
        <v>274950</v>
      </c>
      <c r="AR29" s="899">
        <f t="shared" si="201"/>
        <v>279684</v>
      </c>
      <c r="AS29" s="899">
        <f t="shared" si="201"/>
        <v>285996</v>
      </c>
      <c r="AT29" s="899">
        <f t="shared" si="201"/>
        <v>322308</v>
      </c>
      <c r="AU29" s="899">
        <f t="shared" si="201"/>
        <v>358620</v>
      </c>
      <c r="AV29" s="873">
        <f>AU29</f>
        <v>358620</v>
      </c>
      <c r="AX29" s="899">
        <f>AU29+AU30</f>
        <v>403354</v>
      </c>
      <c r="AY29" s="899">
        <f t="shared" ref="AY29:BI29" si="202">AX29+AX30</f>
        <v>407299</v>
      </c>
      <c r="AZ29" s="899">
        <f t="shared" si="202"/>
        <v>411244</v>
      </c>
      <c r="BA29" s="899">
        <f t="shared" si="202"/>
        <v>415189</v>
      </c>
      <c r="BB29" s="899">
        <f t="shared" si="202"/>
        <v>419134</v>
      </c>
      <c r="BC29" s="899">
        <f t="shared" si="202"/>
        <v>423079</v>
      </c>
      <c r="BD29" s="899">
        <f t="shared" si="202"/>
        <v>435531.10399999999</v>
      </c>
      <c r="BE29" s="899">
        <f t="shared" si="202"/>
        <v>439476.10399999999</v>
      </c>
      <c r="BF29" s="899">
        <f t="shared" si="202"/>
        <v>443421.10399999999</v>
      </c>
      <c r="BG29" s="899">
        <f t="shared" si="202"/>
        <v>447366.10399999999</v>
      </c>
      <c r="BH29" s="899">
        <f t="shared" si="202"/>
        <v>451311.10399999999</v>
      </c>
      <c r="BI29" s="899">
        <f t="shared" si="202"/>
        <v>463763.20799999998</v>
      </c>
      <c r="BJ29" s="829">
        <f>BI29</f>
        <v>463763.20799999998</v>
      </c>
      <c r="BL29" s="898">
        <f>BI29+BI30</f>
        <v>476215.31199999998</v>
      </c>
      <c r="BM29" s="898">
        <f t="shared" ref="BM29:BW29" si="203">BL30+BL29</f>
        <v>478582.31199999998</v>
      </c>
      <c r="BN29" s="898">
        <f t="shared" si="203"/>
        <v>480949.31199999998</v>
      </c>
      <c r="BO29" s="898">
        <f t="shared" si="203"/>
        <v>483316.31199999998</v>
      </c>
      <c r="BP29" s="898">
        <f t="shared" si="203"/>
        <v>485683.31199999998</v>
      </c>
      <c r="BQ29" s="898">
        <f t="shared" si="203"/>
        <v>488050.31199999998</v>
      </c>
      <c r="BR29" s="898">
        <f t="shared" si="203"/>
        <v>490417.31199999998</v>
      </c>
      <c r="BS29" s="898">
        <f t="shared" si="203"/>
        <v>492784.31199999998</v>
      </c>
      <c r="BT29" s="898">
        <f t="shared" si="203"/>
        <v>495151.31199999998</v>
      </c>
      <c r="BU29" s="898">
        <f t="shared" si="203"/>
        <v>497518.31199999998</v>
      </c>
      <c r="BV29" s="898">
        <f t="shared" si="203"/>
        <v>499885.31199999998</v>
      </c>
      <c r="BW29" s="898">
        <f t="shared" si="203"/>
        <v>502252.31199999998</v>
      </c>
      <c r="BX29" s="850">
        <f>BW29</f>
        <v>502252.31199999998</v>
      </c>
      <c r="BY29" s="793"/>
      <c r="BZ29" s="23">
        <f>BW29+BW30</f>
        <v>504619.31199999998</v>
      </c>
      <c r="CA29" s="23">
        <f t="shared" ref="CA29" si="204">BZ30+BZ29</f>
        <v>506986.31199999998</v>
      </c>
      <c r="CB29" s="23">
        <f t="shared" ref="CB29" si="205">CA30+CA29</f>
        <v>509353.31199999998</v>
      </c>
      <c r="CC29" s="23">
        <f t="shared" ref="CC29" si="206">CB30+CB29</f>
        <v>511720.31199999998</v>
      </c>
      <c r="CD29" s="23">
        <f t="shared" ref="CD29" si="207">CC30+CC29</f>
        <v>514087.31199999998</v>
      </c>
      <c r="CE29" s="23">
        <f t="shared" ref="CE29" si="208">CD30+CD29</f>
        <v>516454.31199999998</v>
      </c>
      <c r="CF29" s="23">
        <f t="shared" ref="CF29" si="209">CE30+CE29</f>
        <v>518821.31199999998</v>
      </c>
      <c r="CG29" s="23">
        <f t="shared" ref="CG29" si="210">CF30+CF29</f>
        <v>521188.31199999998</v>
      </c>
      <c r="CH29" s="23">
        <f t="shared" ref="CH29" si="211">CG30+CG29</f>
        <v>523555.31199999998</v>
      </c>
      <c r="CI29" s="23">
        <f t="shared" ref="CI29" si="212">CH30+CH29</f>
        <v>525922.31199999992</v>
      </c>
      <c r="CJ29" s="23">
        <f t="shared" ref="CJ29" si="213">CI30+CI29</f>
        <v>528289.31199999992</v>
      </c>
      <c r="CK29" s="23">
        <f t="shared" ref="CK29" si="214">CJ30+CJ29</f>
        <v>530656.31199999992</v>
      </c>
      <c r="CL29" s="851">
        <f>CK29</f>
        <v>530656.31199999992</v>
      </c>
      <c r="CM29" s="793"/>
      <c r="CN29" s="23">
        <f>CK29+CK30</f>
        <v>533023.31199999992</v>
      </c>
      <c r="CO29" s="23">
        <f t="shared" ref="CO29" si="215">CN30+CN29</f>
        <v>535390.31199999992</v>
      </c>
      <c r="CP29" s="23">
        <f t="shared" ref="CP29" si="216">CO30+CO29</f>
        <v>537757.31199999992</v>
      </c>
      <c r="CQ29" s="23">
        <f t="shared" ref="CQ29" si="217">CP30+CP29</f>
        <v>540124.31199999992</v>
      </c>
      <c r="CR29" s="23">
        <f t="shared" ref="CR29" si="218">CQ30+CQ29</f>
        <v>542491.31199999992</v>
      </c>
      <c r="CS29" s="23">
        <f t="shared" ref="CS29" si="219">CR30+CR29</f>
        <v>544858.31199999992</v>
      </c>
      <c r="CT29" s="23">
        <f t="shared" ref="CT29" si="220">CS30+CS29</f>
        <v>547225.31199999992</v>
      </c>
      <c r="CU29" s="23">
        <f t="shared" ref="CU29" si="221">CT30+CT29</f>
        <v>549592.31199999992</v>
      </c>
      <c r="CV29" s="23">
        <f t="shared" ref="CV29" si="222">CU30+CU29</f>
        <v>551959.31199999992</v>
      </c>
      <c r="CW29" s="23">
        <f t="shared" ref="CW29" si="223">CV30+CV29</f>
        <v>554326.31199999992</v>
      </c>
      <c r="CX29" s="23">
        <f t="shared" ref="CX29" si="224">CW30+CW29</f>
        <v>556693.31199999992</v>
      </c>
      <c r="CY29" s="23">
        <f t="shared" ref="CY29" si="225">CX30+CX29</f>
        <v>559060.31199999992</v>
      </c>
      <c r="CZ29" s="851">
        <f>CY29</f>
        <v>559060.31199999992</v>
      </c>
    </row>
    <row r="30" spans="1:104" ht="14.5" x14ac:dyDescent="0.35">
      <c r="B30" s="967" t="s">
        <v>364</v>
      </c>
      <c r="C30" s="968"/>
      <c r="D30" s="969"/>
      <c r="E30" s="970">
        <f>E29-(3160*20)</f>
        <v>4840</v>
      </c>
      <c r="F30" s="970">
        <f>F29-E29</f>
        <v>4180</v>
      </c>
      <c r="G30" s="946">
        <f>F29</f>
        <v>72220</v>
      </c>
      <c r="H30" s="970">
        <f>H29-F29</f>
        <v>-2380</v>
      </c>
      <c r="I30" s="970">
        <f t="shared" ref="I30:S30" si="226">I29-H29</f>
        <v>13740</v>
      </c>
      <c r="J30" s="970">
        <f t="shared" si="226"/>
        <v>9440</v>
      </c>
      <c r="K30" s="970">
        <f t="shared" si="226"/>
        <v>18420</v>
      </c>
      <c r="L30" s="970">
        <f t="shared" si="226"/>
        <v>0</v>
      </c>
      <c r="M30" s="970">
        <f t="shared" si="226"/>
        <v>2020</v>
      </c>
      <c r="N30" s="970">
        <f t="shared" si="226"/>
        <v>0</v>
      </c>
      <c r="O30" s="970">
        <f t="shared" si="226"/>
        <v>9040</v>
      </c>
      <c r="P30" s="970">
        <f t="shared" si="226"/>
        <v>6240</v>
      </c>
      <c r="Q30" s="970">
        <f t="shared" si="226"/>
        <v>18820</v>
      </c>
      <c r="R30" s="970">
        <f t="shared" si="226"/>
        <v>2460</v>
      </c>
      <c r="S30" s="970">
        <f t="shared" si="226"/>
        <v>3100</v>
      </c>
      <c r="T30" s="947">
        <f>SUM(H30:S30)</f>
        <v>80900</v>
      </c>
      <c r="U30" s="870"/>
      <c r="V30" s="971">
        <f>+V29-S29</f>
        <v>2400</v>
      </c>
      <c r="W30" s="971">
        <f t="shared" ref="W30:AG30" si="227">+W29-V29</f>
        <v>3740</v>
      </c>
      <c r="X30" s="971">
        <f t="shared" si="227"/>
        <v>3780</v>
      </c>
      <c r="Y30" s="949">
        <f t="shared" si="227"/>
        <v>2060</v>
      </c>
      <c r="Z30" s="949">
        <f t="shared" si="227"/>
        <v>5800</v>
      </c>
      <c r="AA30" s="949">
        <f t="shared" si="227"/>
        <v>1720</v>
      </c>
      <c r="AB30" s="949">
        <f t="shared" si="227"/>
        <v>1700</v>
      </c>
      <c r="AC30" s="949">
        <f t="shared" si="227"/>
        <v>3420</v>
      </c>
      <c r="AD30" s="949">
        <f t="shared" si="227"/>
        <v>20500</v>
      </c>
      <c r="AE30" s="949">
        <f t="shared" si="227"/>
        <v>13680</v>
      </c>
      <c r="AF30" s="971">
        <f t="shared" si="227"/>
        <v>10260</v>
      </c>
      <c r="AG30" s="971">
        <f t="shared" si="227"/>
        <v>8540</v>
      </c>
      <c r="AH30" s="834">
        <f>SUM(V30:AG30)</f>
        <v>77600</v>
      </c>
      <c r="AI30" s="870"/>
      <c r="AJ30" s="971">
        <f t="shared" ref="AJ30:AR30" si="228">AJ4*AJ27*$D$29</f>
        <v>7970</v>
      </c>
      <c r="AK30" s="971">
        <f t="shared" si="228"/>
        <v>11088</v>
      </c>
      <c r="AL30" s="971">
        <f t="shared" si="228"/>
        <v>11046</v>
      </c>
      <c r="AM30" s="971">
        <f t="shared" si="228"/>
        <v>5523</v>
      </c>
      <c r="AN30" s="971">
        <f t="shared" si="228"/>
        <v>5523</v>
      </c>
      <c r="AO30" s="971">
        <f t="shared" si="228"/>
        <v>3945</v>
      </c>
      <c r="AP30" s="971">
        <f t="shared" si="228"/>
        <v>3945</v>
      </c>
      <c r="AQ30" s="971">
        <f t="shared" si="228"/>
        <v>4734</v>
      </c>
      <c r="AR30" s="971">
        <f t="shared" si="228"/>
        <v>6311.9999999999991</v>
      </c>
      <c r="AS30" s="971">
        <f>AS4*AS27*$D$29-Finanz!AS5</f>
        <v>36312</v>
      </c>
      <c r="AT30" s="971">
        <f>AT4*AT27*$D$29-Finanz!AT5</f>
        <v>36312</v>
      </c>
      <c r="AU30" s="971">
        <f>AU4*AU27*$D$29-Finanz!AU5</f>
        <v>44734</v>
      </c>
      <c r="AV30" s="835">
        <f>SUM(AJ30:AU30)</f>
        <v>177444</v>
      </c>
      <c r="AW30" s="870"/>
      <c r="AX30" s="971">
        <f t="shared" ref="AX30:BH30" si="229">AX4*AX27*$D$29</f>
        <v>3945</v>
      </c>
      <c r="AY30" s="971">
        <f t="shared" si="229"/>
        <v>3945</v>
      </c>
      <c r="AZ30" s="971">
        <f t="shared" si="229"/>
        <v>3945</v>
      </c>
      <c r="BA30" s="971">
        <f t="shared" si="229"/>
        <v>3945</v>
      </c>
      <c r="BB30" s="971">
        <f t="shared" si="229"/>
        <v>3945</v>
      </c>
      <c r="BC30" s="971">
        <f>BC4*BC27*$D$29-Finanz!BC5</f>
        <v>12452.103999999999</v>
      </c>
      <c r="BD30" s="971">
        <f t="shared" si="229"/>
        <v>3945</v>
      </c>
      <c r="BE30" s="971">
        <f t="shared" si="229"/>
        <v>3945</v>
      </c>
      <c r="BF30" s="971">
        <f t="shared" si="229"/>
        <v>3945</v>
      </c>
      <c r="BG30" s="971">
        <f t="shared" si="229"/>
        <v>3945</v>
      </c>
      <c r="BH30" s="971">
        <f>BH4*BH27*$D$29-Finanz!BH5/2</f>
        <v>12452.103999999999</v>
      </c>
      <c r="BI30" s="971">
        <f>BI4*BI27*$D$29-Finanz!BI5/2</f>
        <v>12452.103999999999</v>
      </c>
      <c r="BJ30" s="946">
        <f>SUM(AX30:BI30)</f>
        <v>72861.312000000005</v>
      </c>
      <c r="BK30" s="870"/>
      <c r="BL30" s="970">
        <f t="shared" ref="BL30:BV30" si="230">BL4*BL27*$D$29</f>
        <v>2367</v>
      </c>
      <c r="BM30" s="970">
        <f t="shared" si="230"/>
        <v>2367</v>
      </c>
      <c r="BN30" s="970">
        <f t="shared" si="230"/>
        <v>2367</v>
      </c>
      <c r="BO30" s="970">
        <f t="shared" si="230"/>
        <v>2367</v>
      </c>
      <c r="BP30" s="970">
        <f t="shared" si="230"/>
        <v>2367</v>
      </c>
      <c r="BQ30" s="970">
        <f t="shared" si="230"/>
        <v>2367</v>
      </c>
      <c r="BR30" s="970">
        <f t="shared" si="230"/>
        <v>2367</v>
      </c>
      <c r="BS30" s="970">
        <f t="shared" si="230"/>
        <v>2367</v>
      </c>
      <c r="BT30" s="970">
        <f t="shared" si="230"/>
        <v>2367</v>
      </c>
      <c r="BU30" s="970">
        <f t="shared" si="230"/>
        <v>2367</v>
      </c>
      <c r="BV30" s="970">
        <f t="shared" si="230"/>
        <v>2367</v>
      </c>
      <c r="BW30" s="970">
        <f>BW4*BW27*$D$29</f>
        <v>2367</v>
      </c>
      <c r="BX30" s="950">
        <f>SUM(BL30:BW30)</f>
        <v>28404</v>
      </c>
      <c r="BY30" s="797"/>
      <c r="BZ30" s="798">
        <f t="shared" ref="BZ30:CJ30" si="231">BZ4*BZ27*$D$29</f>
        <v>2367</v>
      </c>
      <c r="CA30" s="798">
        <f t="shared" si="231"/>
        <v>2367</v>
      </c>
      <c r="CB30" s="798">
        <f t="shared" si="231"/>
        <v>2367</v>
      </c>
      <c r="CC30" s="798">
        <f t="shared" si="231"/>
        <v>2367</v>
      </c>
      <c r="CD30" s="798">
        <f t="shared" si="231"/>
        <v>2367</v>
      </c>
      <c r="CE30" s="798">
        <f t="shared" si="231"/>
        <v>2367</v>
      </c>
      <c r="CF30" s="798">
        <f t="shared" si="231"/>
        <v>2367</v>
      </c>
      <c r="CG30" s="798">
        <f t="shared" si="231"/>
        <v>2367</v>
      </c>
      <c r="CH30" s="798">
        <f t="shared" si="231"/>
        <v>2367</v>
      </c>
      <c r="CI30" s="798">
        <f t="shared" si="231"/>
        <v>2367</v>
      </c>
      <c r="CJ30" s="798">
        <f t="shared" si="231"/>
        <v>2367</v>
      </c>
      <c r="CK30" s="798">
        <f>CK4*CK27*$D$29</f>
        <v>2367</v>
      </c>
      <c r="CL30" s="869">
        <f>SUM(BZ30:CK30)</f>
        <v>28404</v>
      </c>
      <c r="CM30" s="797"/>
      <c r="CN30" s="798">
        <f t="shared" ref="CN30:CX30" si="232">CN4*CN27*$D$29</f>
        <v>2367</v>
      </c>
      <c r="CO30" s="798">
        <f t="shared" si="232"/>
        <v>2367</v>
      </c>
      <c r="CP30" s="798">
        <f t="shared" si="232"/>
        <v>2367</v>
      </c>
      <c r="CQ30" s="798">
        <f t="shared" si="232"/>
        <v>2367</v>
      </c>
      <c r="CR30" s="798">
        <f t="shared" si="232"/>
        <v>2367</v>
      </c>
      <c r="CS30" s="798">
        <f t="shared" si="232"/>
        <v>2367</v>
      </c>
      <c r="CT30" s="798">
        <f t="shared" si="232"/>
        <v>2367</v>
      </c>
      <c r="CU30" s="798">
        <f t="shared" si="232"/>
        <v>2367</v>
      </c>
      <c r="CV30" s="798">
        <f t="shared" si="232"/>
        <v>2367</v>
      </c>
      <c r="CW30" s="798">
        <f t="shared" si="232"/>
        <v>2367</v>
      </c>
      <c r="CX30" s="798">
        <f t="shared" si="232"/>
        <v>2367</v>
      </c>
      <c r="CY30" s="798">
        <f>CY4*CY27*$D$29</f>
        <v>2367</v>
      </c>
      <c r="CZ30" s="869">
        <f>SUM(CN30:CY30)</f>
        <v>28404</v>
      </c>
    </row>
    <row r="31" spans="1:104" ht="14.5" x14ac:dyDescent="0.35">
      <c r="T31" s="972">
        <f>T29-F29-T30</f>
        <v>0</v>
      </c>
      <c r="AH31" s="972">
        <f>AH29-T29-AH30</f>
        <v>0</v>
      </c>
      <c r="AV31" s="972">
        <f>AV29-AH29-AV30</f>
        <v>-49544</v>
      </c>
      <c r="BJ31" s="972">
        <f>BJ29-AV29-BJ30</f>
        <v>32281.895999999979</v>
      </c>
      <c r="BX31" s="972">
        <f>BX29-BJ29-BX30</f>
        <v>10085.103999999992</v>
      </c>
      <c r="BY31" s="79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972">
        <f>CL29-BX29-CL30</f>
        <v>-5.8207660913467407E-11</v>
      </c>
      <c r="CM31" s="79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972">
        <f>CZ29-CL29-CZ30</f>
        <v>0</v>
      </c>
    </row>
    <row r="32" spans="1:104" ht="14.5" x14ac:dyDescent="0.4">
      <c r="B32" s="973" t="s">
        <v>365</v>
      </c>
      <c r="C32" s="974"/>
      <c r="D32" s="975"/>
      <c r="T32" s="976"/>
      <c r="AH32" s="976"/>
      <c r="AV32" s="976"/>
      <c r="BJ32" s="976"/>
      <c r="BX32" s="976"/>
      <c r="BY32" s="79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976"/>
      <c r="CM32" s="79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976"/>
    </row>
    <row r="33" spans="1:104" ht="14.5" x14ac:dyDescent="0.4">
      <c r="B33" s="977" t="s">
        <v>366</v>
      </c>
      <c r="C33" s="978"/>
      <c r="D33" s="979"/>
      <c r="J33" s="980"/>
      <c r="K33" s="980"/>
      <c r="L33" s="980"/>
      <c r="M33" s="980"/>
      <c r="N33" s="980"/>
      <c r="O33" s="980"/>
      <c r="P33" s="980"/>
      <c r="Q33" s="980"/>
      <c r="BY33" s="79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M33" s="79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</row>
    <row r="34" spans="1:104" ht="14.5" x14ac:dyDescent="0.4">
      <c r="B34" s="981" t="s">
        <v>367</v>
      </c>
      <c r="C34" s="982"/>
      <c r="D34" s="983"/>
      <c r="AF34" s="984"/>
      <c r="BY34" s="79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M34" s="79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</row>
    <row r="35" spans="1:104" ht="14.5" x14ac:dyDescent="0.35">
      <c r="B35" s="985" t="s">
        <v>368</v>
      </c>
      <c r="BY35" s="79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M35" s="79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</row>
    <row r="36" spans="1:104" ht="14.5" x14ac:dyDescent="0.35">
      <c r="B36" s="827" t="s">
        <v>369</v>
      </c>
      <c r="BY36" s="79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M36" s="79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</row>
    <row r="37" spans="1:104" ht="14.5" x14ac:dyDescent="0.35">
      <c r="B37" s="827" t="s">
        <v>370</v>
      </c>
      <c r="BY37" s="79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M37" s="79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</row>
    <row r="38" spans="1:104" ht="14.5" x14ac:dyDescent="0.35">
      <c r="B38" s="827" t="s">
        <v>371</v>
      </c>
      <c r="BY38" s="79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M38" s="79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</row>
    <row r="39" spans="1:104" ht="14.25" customHeight="1" x14ac:dyDescent="0.35">
      <c r="BY39" s="79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M39" s="79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</row>
    <row r="40" spans="1:104" ht="14.25" customHeight="1" x14ac:dyDescent="0.35">
      <c r="A40" s="986" t="s">
        <v>372</v>
      </c>
      <c r="D40" s="987"/>
      <c r="AC40" s="846">
        <v>1040</v>
      </c>
      <c r="AD40" s="846">
        <v>1040</v>
      </c>
      <c r="AE40" s="846">
        <v>1040</v>
      </c>
      <c r="AF40" s="846">
        <v>1040</v>
      </c>
      <c r="AG40" s="846">
        <v>1040</v>
      </c>
      <c r="AH40" s="846">
        <v>1040</v>
      </c>
      <c r="AI40" s="846"/>
      <c r="AJ40" s="846">
        <v>1040</v>
      </c>
      <c r="AK40" s="846">
        <v>1040</v>
      </c>
      <c r="AL40" s="846">
        <v>1040</v>
      </c>
      <c r="AM40" s="846">
        <v>1040</v>
      </c>
      <c r="AN40" s="846">
        <v>1040</v>
      </c>
      <c r="AO40" s="846">
        <v>1040</v>
      </c>
      <c r="AP40" s="846">
        <v>1040</v>
      </c>
      <c r="AQ40" s="846">
        <v>1040</v>
      </c>
      <c r="AR40" s="846">
        <v>1040</v>
      </c>
      <c r="AS40" s="846">
        <v>1040</v>
      </c>
      <c r="AT40" s="846">
        <v>1040</v>
      </c>
      <c r="AU40" s="846">
        <v>1040</v>
      </c>
      <c r="AV40" s="846">
        <v>1040</v>
      </c>
      <c r="AW40" s="846"/>
      <c r="AX40" s="846">
        <v>1040</v>
      </c>
      <c r="AY40" s="846">
        <v>1040</v>
      </c>
      <c r="AZ40" s="846">
        <v>1040</v>
      </c>
      <c r="BA40" s="846">
        <v>1040</v>
      </c>
      <c r="BB40" s="846">
        <v>1040</v>
      </c>
      <c r="BC40" s="846">
        <v>1040</v>
      </c>
      <c r="BD40" s="846">
        <v>1040</v>
      </c>
      <c r="BE40" s="846">
        <v>1040</v>
      </c>
      <c r="BF40" s="846">
        <v>1040</v>
      </c>
      <c r="BG40" s="846">
        <v>1040</v>
      </c>
      <c r="BH40" s="846">
        <v>1040</v>
      </c>
      <c r="BI40" s="846">
        <v>1040</v>
      </c>
      <c r="BJ40" s="846">
        <v>1040</v>
      </c>
      <c r="BK40" s="846"/>
      <c r="BL40" s="846">
        <v>1040</v>
      </c>
      <c r="BM40" s="846">
        <v>1040</v>
      </c>
      <c r="BN40" s="846">
        <v>1040</v>
      </c>
      <c r="BO40" s="846">
        <v>1040</v>
      </c>
      <c r="BP40" s="846">
        <v>1040</v>
      </c>
      <c r="BQ40" s="846">
        <v>1040</v>
      </c>
      <c r="BR40" s="846">
        <v>1040</v>
      </c>
      <c r="BS40" s="846">
        <v>1040</v>
      </c>
      <c r="BT40" s="846">
        <v>1040</v>
      </c>
      <c r="BU40" s="846">
        <v>1040</v>
      </c>
      <c r="BV40" s="846">
        <v>1040</v>
      </c>
      <c r="BW40" s="846">
        <v>1040</v>
      </c>
      <c r="BX40" s="846">
        <v>1040</v>
      </c>
      <c r="BY40" s="24"/>
      <c r="BZ40" s="24">
        <v>1040</v>
      </c>
      <c r="CA40" s="24">
        <v>1040</v>
      </c>
      <c r="CB40" s="24">
        <v>1040</v>
      </c>
      <c r="CC40" s="24">
        <v>1040</v>
      </c>
      <c r="CD40" s="24">
        <v>1040</v>
      </c>
      <c r="CE40" s="24">
        <v>1040</v>
      </c>
      <c r="CF40" s="24">
        <v>1040</v>
      </c>
      <c r="CG40" s="24">
        <v>1040</v>
      </c>
      <c r="CH40" s="24">
        <v>1040</v>
      </c>
      <c r="CI40" s="24">
        <v>1040</v>
      </c>
      <c r="CJ40" s="24">
        <v>1040</v>
      </c>
      <c r="CK40" s="24">
        <v>1040</v>
      </c>
      <c r="CL40" s="846">
        <v>1040</v>
      </c>
      <c r="CM40" s="24"/>
      <c r="CN40" s="24">
        <v>1040</v>
      </c>
      <c r="CO40" s="24">
        <v>1040</v>
      </c>
      <c r="CP40" s="24">
        <v>1040</v>
      </c>
      <c r="CQ40" s="24">
        <v>1040</v>
      </c>
      <c r="CR40" s="24">
        <v>1040</v>
      </c>
      <c r="CS40" s="24">
        <v>1040</v>
      </c>
      <c r="CT40" s="24">
        <v>1040</v>
      </c>
      <c r="CU40" s="24">
        <v>1040</v>
      </c>
      <c r="CV40" s="24">
        <v>1040</v>
      </c>
      <c r="CW40" s="24">
        <v>1040</v>
      </c>
      <c r="CX40" s="24">
        <v>1040</v>
      </c>
      <c r="CY40" s="24">
        <v>1040</v>
      </c>
      <c r="CZ40" s="846">
        <v>1040</v>
      </c>
    </row>
    <row r="41" spans="1:104" ht="14.25" customHeight="1" x14ac:dyDescent="0.35">
      <c r="A41" s="986" t="s">
        <v>373</v>
      </c>
      <c r="D41" s="987"/>
      <c r="AC41" s="846">
        <v>0</v>
      </c>
      <c r="AD41" s="846">
        <f>AD3-$AC3</f>
        <v>120</v>
      </c>
      <c r="AE41" s="846">
        <f>AE3-$AC3</f>
        <v>200</v>
      </c>
      <c r="AF41" s="846">
        <f>AF3-$AC3</f>
        <v>260</v>
      </c>
      <c r="AG41" s="846">
        <f>AG3-$AC3</f>
        <v>310</v>
      </c>
      <c r="AH41" s="846">
        <f>AH3-$AC3</f>
        <v>310</v>
      </c>
      <c r="AI41" s="846"/>
      <c r="AJ41" s="846">
        <f t="shared" ref="AJ41:AV41" si="233">AJ3-$AC3</f>
        <v>323</v>
      </c>
      <c r="AK41" s="846">
        <f t="shared" si="233"/>
        <v>393</v>
      </c>
      <c r="AL41" s="846">
        <f t="shared" si="233"/>
        <v>463</v>
      </c>
      <c r="AM41" s="846">
        <f t="shared" si="233"/>
        <v>498</v>
      </c>
      <c r="AN41" s="846">
        <f t="shared" si="233"/>
        <v>533</v>
      </c>
      <c r="AO41" s="846">
        <f t="shared" si="233"/>
        <v>558</v>
      </c>
      <c r="AP41" s="846">
        <f t="shared" si="233"/>
        <v>583</v>
      </c>
      <c r="AQ41" s="846">
        <f t="shared" si="233"/>
        <v>613</v>
      </c>
      <c r="AR41" s="846">
        <f t="shared" si="233"/>
        <v>653</v>
      </c>
      <c r="AS41" s="846">
        <f t="shared" si="233"/>
        <v>693</v>
      </c>
      <c r="AT41" s="846">
        <f t="shared" si="233"/>
        <v>733</v>
      </c>
      <c r="AU41" s="846">
        <f t="shared" si="233"/>
        <v>763</v>
      </c>
      <c r="AV41" s="846">
        <f t="shared" si="233"/>
        <v>763</v>
      </c>
      <c r="AW41" s="846"/>
      <c r="AX41" s="846">
        <f t="shared" ref="AX41:BJ41" si="234">AX3-$AC3</f>
        <v>788</v>
      </c>
      <c r="AY41" s="846">
        <f t="shared" si="234"/>
        <v>813</v>
      </c>
      <c r="AZ41" s="846">
        <f t="shared" si="234"/>
        <v>838</v>
      </c>
      <c r="BA41" s="846">
        <f t="shared" si="234"/>
        <v>863</v>
      </c>
      <c r="BB41" s="846">
        <f t="shared" si="234"/>
        <v>888</v>
      </c>
      <c r="BC41" s="846">
        <f t="shared" si="234"/>
        <v>913</v>
      </c>
      <c r="BD41" s="846">
        <f t="shared" si="234"/>
        <v>938</v>
      </c>
      <c r="BE41" s="846">
        <f t="shared" si="234"/>
        <v>963</v>
      </c>
      <c r="BF41" s="846">
        <f t="shared" si="234"/>
        <v>988</v>
      </c>
      <c r="BG41" s="846">
        <f t="shared" si="234"/>
        <v>1013</v>
      </c>
      <c r="BH41" s="846">
        <f t="shared" si="234"/>
        <v>1038</v>
      </c>
      <c r="BI41" s="846">
        <f t="shared" si="234"/>
        <v>1063</v>
      </c>
      <c r="BJ41" s="846">
        <f t="shared" si="234"/>
        <v>1063</v>
      </c>
      <c r="BK41" s="846"/>
      <c r="BL41" s="846">
        <f t="shared" ref="BL41:BX41" si="235">BL3-$AC3</f>
        <v>1078</v>
      </c>
      <c r="BM41" s="846">
        <f t="shared" si="235"/>
        <v>1093</v>
      </c>
      <c r="BN41" s="846">
        <f t="shared" si="235"/>
        <v>1108</v>
      </c>
      <c r="BO41" s="846">
        <f t="shared" si="235"/>
        <v>1123</v>
      </c>
      <c r="BP41" s="846">
        <f t="shared" si="235"/>
        <v>1138</v>
      </c>
      <c r="BQ41" s="846">
        <f t="shared" si="235"/>
        <v>1153</v>
      </c>
      <c r="BR41" s="846">
        <f t="shared" si="235"/>
        <v>1168</v>
      </c>
      <c r="BS41" s="846">
        <f t="shared" si="235"/>
        <v>1183</v>
      </c>
      <c r="BT41" s="846">
        <f t="shared" si="235"/>
        <v>1198</v>
      </c>
      <c r="BU41" s="846">
        <f t="shared" si="235"/>
        <v>1213</v>
      </c>
      <c r="BV41" s="846">
        <f t="shared" si="235"/>
        <v>1228</v>
      </c>
      <c r="BW41" s="846">
        <f t="shared" si="235"/>
        <v>1243</v>
      </c>
      <c r="BX41" s="846">
        <f t="shared" si="235"/>
        <v>1243</v>
      </c>
      <c r="BY41" s="24"/>
      <c r="BZ41" s="24">
        <f t="shared" ref="BZ41:CL41" si="236">BZ3-$AC3</f>
        <v>1258</v>
      </c>
      <c r="CA41" s="24">
        <f t="shared" si="236"/>
        <v>1273</v>
      </c>
      <c r="CB41" s="24">
        <f t="shared" si="236"/>
        <v>1288</v>
      </c>
      <c r="CC41" s="24">
        <f t="shared" si="236"/>
        <v>1303</v>
      </c>
      <c r="CD41" s="24">
        <f t="shared" si="236"/>
        <v>1318</v>
      </c>
      <c r="CE41" s="24">
        <f t="shared" si="236"/>
        <v>1333</v>
      </c>
      <c r="CF41" s="24">
        <f t="shared" si="236"/>
        <v>1348</v>
      </c>
      <c r="CG41" s="24">
        <f t="shared" si="236"/>
        <v>1363</v>
      </c>
      <c r="CH41" s="24">
        <f t="shared" si="236"/>
        <v>1378</v>
      </c>
      <c r="CI41" s="24">
        <f t="shared" si="236"/>
        <v>1393</v>
      </c>
      <c r="CJ41" s="24">
        <f t="shared" si="236"/>
        <v>1408</v>
      </c>
      <c r="CK41" s="24">
        <f t="shared" si="236"/>
        <v>1423</v>
      </c>
      <c r="CL41" s="846">
        <f t="shared" si="236"/>
        <v>1423</v>
      </c>
      <c r="CM41" s="24"/>
      <c r="CN41" s="24">
        <f t="shared" ref="CN41:CZ41" si="237">CN3-$AC3</f>
        <v>1438</v>
      </c>
      <c r="CO41" s="24">
        <f t="shared" si="237"/>
        <v>1453</v>
      </c>
      <c r="CP41" s="24">
        <f t="shared" si="237"/>
        <v>1468</v>
      </c>
      <c r="CQ41" s="24">
        <f t="shared" si="237"/>
        <v>1483</v>
      </c>
      <c r="CR41" s="24">
        <f t="shared" si="237"/>
        <v>1498</v>
      </c>
      <c r="CS41" s="24">
        <f t="shared" si="237"/>
        <v>1513</v>
      </c>
      <c r="CT41" s="24">
        <f t="shared" si="237"/>
        <v>1528</v>
      </c>
      <c r="CU41" s="24">
        <f t="shared" si="237"/>
        <v>1543</v>
      </c>
      <c r="CV41" s="24">
        <f t="shared" si="237"/>
        <v>1558</v>
      </c>
      <c r="CW41" s="24">
        <f t="shared" si="237"/>
        <v>1573</v>
      </c>
      <c r="CX41" s="24">
        <f t="shared" si="237"/>
        <v>1588</v>
      </c>
      <c r="CY41" s="24">
        <f t="shared" si="237"/>
        <v>1603</v>
      </c>
      <c r="CZ41" s="846">
        <f t="shared" si="237"/>
        <v>1603</v>
      </c>
    </row>
    <row r="42" spans="1:104" ht="14.25" customHeight="1" x14ac:dyDescent="0.35">
      <c r="A42" s="825" t="s">
        <v>374</v>
      </c>
      <c r="AC42" s="846">
        <f>$AC40</f>
        <v>1040</v>
      </c>
      <c r="AD42" s="846">
        <f>$AC40+AD41</f>
        <v>1160</v>
      </c>
      <c r="AE42" s="846">
        <f>$AC40+AE41</f>
        <v>1240</v>
      </c>
      <c r="AF42" s="846">
        <f>$AC40+AF41</f>
        <v>1300</v>
      </c>
      <c r="AG42" s="846">
        <f>$AC40+AG41</f>
        <v>1350</v>
      </c>
      <c r="AH42" s="846">
        <f>$AC40+AH41</f>
        <v>1350</v>
      </c>
      <c r="AI42" s="846"/>
      <c r="AJ42" s="846">
        <f t="shared" ref="AJ42:AV42" si="238">$AC40+AJ41</f>
        <v>1363</v>
      </c>
      <c r="AK42" s="846">
        <f t="shared" si="238"/>
        <v>1433</v>
      </c>
      <c r="AL42" s="846">
        <f t="shared" si="238"/>
        <v>1503</v>
      </c>
      <c r="AM42" s="846">
        <f t="shared" si="238"/>
        <v>1538</v>
      </c>
      <c r="AN42" s="846">
        <f t="shared" si="238"/>
        <v>1573</v>
      </c>
      <c r="AO42" s="846">
        <f t="shared" si="238"/>
        <v>1598</v>
      </c>
      <c r="AP42" s="846">
        <f t="shared" si="238"/>
        <v>1623</v>
      </c>
      <c r="AQ42" s="846">
        <f t="shared" si="238"/>
        <v>1653</v>
      </c>
      <c r="AR42" s="846">
        <f t="shared" si="238"/>
        <v>1693</v>
      </c>
      <c r="AS42" s="846">
        <f t="shared" si="238"/>
        <v>1733</v>
      </c>
      <c r="AT42" s="846">
        <f t="shared" si="238"/>
        <v>1773</v>
      </c>
      <c r="AU42" s="846">
        <f t="shared" si="238"/>
        <v>1803</v>
      </c>
      <c r="AV42" s="846">
        <f t="shared" si="238"/>
        <v>1803</v>
      </c>
      <c r="AW42" s="846"/>
      <c r="AX42" s="846">
        <f t="shared" ref="AX42:BJ42" si="239">$AC40+AX41</f>
        <v>1828</v>
      </c>
      <c r="AY42" s="846">
        <f t="shared" si="239"/>
        <v>1853</v>
      </c>
      <c r="AZ42" s="846">
        <f t="shared" si="239"/>
        <v>1878</v>
      </c>
      <c r="BA42" s="846">
        <f t="shared" si="239"/>
        <v>1903</v>
      </c>
      <c r="BB42" s="846">
        <f t="shared" si="239"/>
        <v>1928</v>
      </c>
      <c r="BC42" s="846">
        <f t="shared" si="239"/>
        <v>1953</v>
      </c>
      <c r="BD42" s="846">
        <f t="shared" si="239"/>
        <v>1978</v>
      </c>
      <c r="BE42" s="846">
        <f t="shared" si="239"/>
        <v>2003</v>
      </c>
      <c r="BF42" s="846">
        <f t="shared" si="239"/>
        <v>2028</v>
      </c>
      <c r="BG42" s="846">
        <f t="shared" si="239"/>
        <v>2053</v>
      </c>
      <c r="BH42" s="846">
        <f t="shared" si="239"/>
        <v>2078</v>
      </c>
      <c r="BI42" s="846">
        <f t="shared" si="239"/>
        <v>2103</v>
      </c>
      <c r="BJ42" s="846">
        <f t="shared" si="239"/>
        <v>2103</v>
      </c>
      <c r="BK42" s="846"/>
      <c r="BL42" s="846">
        <f t="shared" ref="BL42:BX42" si="240">$AC40+BL41</f>
        <v>2118</v>
      </c>
      <c r="BM42" s="846">
        <f t="shared" si="240"/>
        <v>2133</v>
      </c>
      <c r="BN42" s="846">
        <f t="shared" si="240"/>
        <v>2148</v>
      </c>
      <c r="BO42" s="846">
        <f t="shared" si="240"/>
        <v>2163</v>
      </c>
      <c r="BP42" s="846">
        <f t="shared" si="240"/>
        <v>2178</v>
      </c>
      <c r="BQ42" s="846">
        <f t="shared" si="240"/>
        <v>2193</v>
      </c>
      <c r="BR42" s="846">
        <f t="shared" si="240"/>
        <v>2208</v>
      </c>
      <c r="BS42" s="846">
        <f t="shared" si="240"/>
        <v>2223</v>
      </c>
      <c r="BT42" s="846">
        <f t="shared" si="240"/>
        <v>2238</v>
      </c>
      <c r="BU42" s="846">
        <f t="shared" si="240"/>
        <v>2253</v>
      </c>
      <c r="BV42" s="846">
        <f t="shared" si="240"/>
        <v>2268</v>
      </c>
      <c r="BW42" s="846">
        <f t="shared" si="240"/>
        <v>2283</v>
      </c>
      <c r="BX42" s="846">
        <f t="shared" si="240"/>
        <v>2283</v>
      </c>
      <c r="BY42" s="24"/>
      <c r="BZ42" s="24">
        <f t="shared" ref="BZ42:CL42" si="241">$AC40+BZ41</f>
        <v>2298</v>
      </c>
      <c r="CA42" s="24">
        <f t="shared" si="241"/>
        <v>2313</v>
      </c>
      <c r="CB42" s="24">
        <f t="shared" si="241"/>
        <v>2328</v>
      </c>
      <c r="CC42" s="24">
        <f t="shared" si="241"/>
        <v>2343</v>
      </c>
      <c r="CD42" s="24">
        <f t="shared" si="241"/>
        <v>2358</v>
      </c>
      <c r="CE42" s="24">
        <f t="shared" si="241"/>
        <v>2373</v>
      </c>
      <c r="CF42" s="24">
        <f t="shared" si="241"/>
        <v>2388</v>
      </c>
      <c r="CG42" s="24">
        <f t="shared" si="241"/>
        <v>2403</v>
      </c>
      <c r="CH42" s="24">
        <f t="shared" si="241"/>
        <v>2418</v>
      </c>
      <c r="CI42" s="24">
        <f t="shared" si="241"/>
        <v>2433</v>
      </c>
      <c r="CJ42" s="24">
        <f t="shared" si="241"/>
        <v>2448</v>
      </c>
      <c r="CK42" s="24">
        <f t="shared" si="241"/>
        <v>2463</v>
      </c>
      <c r="CL42" s="846">
        <f t="shared" si="241"/>
        <v>2463</v>
      </c>
      <c r="CM42" s="24"/>
      <c r="CN42" s="24">
        <f t="shared" ref="CN42:CZ42" si="242">$AC40+CN41</f>
        <v>2478</v>
      </c>
      <c r="CO42" s="24">
        <f t="shared" si="242"/>
        <v>2493</v>
      </c>
      <c r="CP42" s="24">
        <f t="shared" si="242"/>
        <v>2508</v>
      </c>
      <c r="CQ42" s="24">
        <f t="shared" si="242"/>
        <v>2523</v>
      </c>
      <c r="CR42" s="24">
        <f t="shared" si="242"/>
        <v>2538</v>
      </c>
      <c r="CS42" s="24">
        <f t="shared" si="242"/>
        <v>2553</v>
      </c>
      <c r="CT42" s="24">
        <f t="shared" si="242"/>
        <v>2568</v>
      </c>
      <c r="CU42" s="24">
        <f t="shared" si="242"/>
        <v>2583</v>
      </c>
      <c r="CV42" s="24">
        <f t="shared" si="242"/>
        <v>2598</v>
      </c>
      <c r="CW42" s="24">
        <f t="shared" si="242"/>
        <v>2613</v>
      </c>
      <c r="CX42" s="24">
        <f t="shared" si="242"/>
        <v>2628</v>
      </c>
      <c r="CY42" s="24">
        <f t="shared" si="242"/>
        <v>2643</v>
      </c>
      <c r="CZ42" s="846">
        <f t="shared" si="242"/>
        <v>2643</v>
      </c>
    </row>
    <row r="43" spans="1:104" ht="14.25" customHeight="1" x14ac:dyDescent="0.35">
      <c r="A43" s="986" t="s">
        <v>375</v>
      </c>
      <c r="C43" s="827" t="s">
        <v>376</v>
      </c>
      <c r="D43" s="988">
        <v>0.5</v>
      </c>
      <c r="AC43" s="989">
        <f t="shared" ref="AC43:AH43" si="243">AC40/AC42</f>
        <v>1</v>
      </c>
      <c r="AD43" s="989">
        <f t="shared" si="243"/>
        <v>0.89655172413793105</v>
      </c>
      <c r="AE43" s="989">
        <f t="shared" si="243"/>
        <v>0.83870967741935487</v>
      </c>
      <c r="AF43" s="989">
        <f t="shared" si="243"/>
        <v>0.8</v>
      </c>
      <c r="AG43" s="989">
        <f t="shared" si="243"/>
        <v>0.77037037037037037</v>
      </c>
      <c r="AH43" s="989">
        <f t="shared" si="243"/>
        <v>0.77037037037037037</v>
      </c>
      <c r="AI43" s="989"/>
      <c r="AJ43" s="989">
        <f t="shared" ref="AJ43:AV43" si="244">AJ40/AJ42</f>
        <v>0.7630227439471754</v>
      </c>
      <c r="AK43" s="989">
        <f t="shared" si="244"/>
        <v>0.72575017445917656</v>
      </c>
      <c r="AL43" s="989">
        <f t="shared" si="244"/>
        <v>0.69194943446440449</v>
      </c>
      <c r="AM43" s="989">
        <f t="shared" si="244"/>
        <v>0.67620286085825743</v>
      </c>
      <c r="AN43" s="989">
        <f t="shared" si="244"/>
        <v>0.66115702479338845</v>
      </c>
      <c r="AO43" s="989">
        <f t="shared" si="244"/>
        <v>0.6508135168961201</v>
      </c>
      <c r="AP43" s="989">
        <f t="shared" si="244"/>
        <v>0.64078866296980896</v>
      </c>
      <c r="AQ43" s="989">
        <f t="shared" si="244"/>
        <v>0.62915910465819724</v>
      </c>
      <c r="AR43" s="989">
        <f t="shared" si="244"/>
        <v>0.6142941523922032</v>
      </c>
      <c r="AS43" s="989">
        <f t="shared" si="244"/>
        <v>0.60011540680900177</v>
      </c>
      <c r="AT43" s="989">
        <f t="shared" si="244"/>
        <v>0.58657642413987587</v>
      </c>
      <c r="AU43" s="989">
        <f t="shared" si="244"/>
        <v>0.57681641708264009</v>
      </c>
      <c r="AV43" s="989">
        <f t="shared" si="244"/>
        <v>0.57681641708264009</v>
      </c>
      <c r="AW43" s="989"/>
      <c r="AX43" s="989">
        <f t="shared" ref="AX43:BJ43" si="245">AX40/AX42</f>
        <v>0.56892778993435444</v>
      </c>
      <c r="AY43" s="989">
        <f t="shared" si="245"/>
        <v>0.56125202374527794</v>
      </c>
      <c r="AZ43" s="989">
        <f t="shared" si="245"/>
        <v>0.55378061767838127</v>
      </c>
      <c r="BA43" s="989">
        <f t="shared" si="245"/>
        <v>0.54650551760378352</v>
      </c>
      <c r="BB43" s="989">
        <f t="shared" si="245"/>
        <v>0.53941908713692943</v>
      </c>
      <c r="BC43" s="989">
        <f t="shared" si="245"/>
        <v>0.53251408090117769</v>
      </c>
      <c r="BD43" s="989">
        <f t="shared" si="245"/>
        <v>0.52578361981799793</v>
      </c>
      <c r="BE43" s="989">
        <f t="shared" si="245"/>
        <v>0.51922116824762854</v>
      </c>
      <c r="BF43" s="989">
        <f t="shared" si="245"/>
        <v>0.51282051282051277</v>
      </c>
      <c r="BG43" s="989">
        <f t="shared" si="245"/>
        <v>0.50657574281539208</v>
      </c>
      <c r="BH43" s="989">
        <f t="shared" si="245"/>
        <v>0.50048123195380179</v>
      </c>
      <c r="BI43" s="989">
        <f t="shared" si="245"/>
        <v>0.49453162149310509</v>
      </c>
      <c r="BJ43" s="989">
        <f t="shared" si="245"/>
        <v>0.49453162149310509</v>
      </c>
      <c r="BK43" s="989"/>
      <c r="BL43" s="989">
        <f t="shared" ref="BL43:BX43" si="246">BL40/BL42</f>
        <v>0.49102927289896131</v>
      </c>
      <c r="BM43" s="989">
        <f t="shared" si="246"/>
        <v>0.48757618377871542</v>
      </c>
      <c r="BN43" s="989">
        <f t="shared" si="246"/>
        <v>0.48417132216014896</v>
      </c>
      <c r="BO43" s="989">
        <f t="shared" si="246"/>
        <v>0.48081368469717983</v>
      </c>
      <c r="BP43" s="989">
        <f t="shared" si="246"/>
        <v>0.47750229568411384</v>
      </c>
      <c r="BQ43" s="989">
        <f t="shared" si="246"/>
        <v>0.47423620611035111</v>
      </c>
      <c r="BR43" s="989">
        <f t="shared" si="246"/>
        <v>0.47101449275362317</v>
      </c>
      <c r="BS43" s="989">
        <f t="shared" si="246"/>
        <v>0.46783625730994149</v>
      </c>
      <c r="BT43" s="989">
        <f t="shared" si="246"/>
        <v>0.46470062555853442</v>
      </c>
      <c r="BU43" s="989">
        <f t="shared" si="246"/>
        <v>0.46160674656014206</v>
      </c>
      <c r="BV43" s="989">
        <f t="shared" si="246"/>
        <v>0.4585537918871252</v>
      </c>
      <c r="BW43" s="989">
        <f t="shared" si="246"/>
        <v>0.45554095488392465</v>
      </c>
      <c r="BX43" s="989">
        <f t="shared" si="246"/>
        <v>0.45554095488392465</v>
      </c>
      <c r="BY43" s="814"/>
      <c r="BZ43" s="814">
        <f t="shared" ref="BZ43:CL43" si="247">BZ40/BZ42</f>
        <v>0.4525674499564839</v>
      </c>
      <c r="CA43" s="814">
        <f t="shared" si="247"/>
        <v>0.44963251188932124</v>
      </c>
      <c r="CB43" s="814">
        <f t="shared" si="247"/>
        <v>0.44673539518900346</v>
      </c>
      <c r="CC43" s="814">
        <f t="shared" si="247"/>
        <v>0.44387537345283823</v>
      </c>
      <c r="CD43" s="814">
        <f t="shared" si="247"/>
        <v>0.44105173876166243</v>
      </c>
      <c r="CE43" s="814">
        <f t="shared" si="247"/>
        <v>0.43826380109565949</v>
      </c>
      <c r="CF43" s="814">
        <f t="shared" si="247"/>
        <v>0.43551088777219432</v>
      </c>
      <c r="CG43" s="814">
        <f t="shared" si="247"/>
        <v>0.43279234290470248</v>
      </c>
      <c r="CH43" s="814">
        <f t="shared" si="247"/>
        <v>0.43010752688172044</v>
      </c>
      <c r="CI43" s="814">
        <f t="shared" si="247"/>
        <v>0.42745581586518699</v>
      </c>
      <c r="CJ43" s="814">
        <f t="shared" si="247"/>
        <v>0.42483660130718953</v>
      </c>
      <c r="CK43" s="814">
        <f t="shared" si="247"/>
        <v>0.42224928948436863</v>
      </c>
      <c r="CL43" s="989">
        <f t="shared" si="247"/>
        <v>0.42224928948436863</v>
      </c>
      <c r="CM43" s="814"/>
      <c r="CN43" s="814">
        <f t="shared" ref="CN43:CZ43" si="248">CN40/CN42</f>
        <v>0.41969330104923325</v>
      </c>
      <c r="CO43" s="814">
        <f t="shared" si="248"/>
        <v>0.41716807059767347</v>
      </c>
      <c r="CP43" s="814">
        <f t="shared" si="248"/>
        <v>0.41467304625199364</v>
      </c>
      <c r="CQ43" s="814">
        <f t="shared" si="248"/>
        <v>0.41220768925881884</v>
      </c>
      <c r="CR43" s="814">
        <f t="shared" si="248"/>
        <v>0.40977147360126082</v>
      </c>
      <c r="CS43" s="814">
        <f t="shared" si="248"/>
        <v>0.40736388562475517</v>
      </c>
      <c r="CT43" s="814">
        <f t="shared" si="248"/>
        <v>0.40498442367601245</v>
      </c>
      <c r="CU43" s="814">
        <f t="shared" si="248"/>
        <v>0.40263259775454896</v>
      </c>
      <c r="CV43" s="814">
        <f t="shared" si="248"/>
        <v>0.40030792917628943</v>
      </c>
      <c r="CW43" s="814">
        <f t="shared" si="248"/>
        <v>0.39800995024875624</v>
      </c>
      <c r="CX43" s="814">
        <f t="shared" si="248"/>
        <v>0.39573820395738202</v>
      </c>
      <c r="CY43" s="814">
        <f t="shared" si="248"/>
        <v>0.39349224366250474</v>
      </c>
      <c r="CZ43" s="989">
        <f t="shared" si="248"/>
        <v>0.39349224366250474</v>
      </c>
    </row>
    <row r="44" spans="1:104" ht="14.25" customHeight="1" x14ac:dyDescent="0.35">
      <c r="A44" s="986" t="s">
        <v>377</v>
      </c>
      <c r="C44" s="827" t="s">
        <v>376</v>
      </c>
      <c r="D44" s="988">
        <v>0.8</v>
      </c>
      <c r="AC44" s="846">
        <f t="shared" ref="AC44:AH44" si="249">AC41/AC42</f>
        <v>0</v>
      </c>
      <c r="AD44" s="989">
        <f t="shared" si="249"/>
        <v>0.10344827586206896</v>
      </c>
      <c r="AE44" s="989">
        <f t="shared" si="249"/>
        <v>0.16129032258064516</v>
      </c>
      <c r="AF44" s="989">
        <f t="shared" si="249"/>
        <v>0.2</v>
      </c>
      <c r="AG44" s="989">
        <f t="shared" si="249"/>
        <v>0.22962962962962963</v>
      </c>
      <c r="AH44" s="989">
        <f t="shared" si="249"/>
        <v>0.22962962962962963</v>
      </c>
      <c r="AI44" s="989"/>
      <c r="AJ44" s="989">
        <f t="shared" ref="AJ44:AV44" si="250">AJ41/AJ42</f>
        <v>0.23697725605282466</v>
      </c>
      <c r="AK44" s="989">
        <f t="shared" si="250"/>
        <v>0.27424982554082344</v>
      </c>
      <c r="AL44" s="989">
        <f t="shared" si="250"/>
        <v>0.30805056553559546</v>
      </c>
      <c r="AM44" s="989">
        <f t="shared" si="250"/>
        <v>0.32379713914174252</v>
      </c>
      <c r="AN44" s="989">
        <f t="shared" si="250"/>
        <v>0.33884297520661155</v>
      </c>
      <c r="AO44" s="989">
        <f t="shared" si="250"/>
        <v>0.34918648310387984</v>
      </c>
      <c r="AP44" s="989">
        <f t="shared" si="250"/>
        <v>0.35921133703019098</v>
      </c>
      <c r="AQ44" s="989">
        <f t="shared" si="250"/>
        <v>0.37084089534180276</v>
      </c>
      <c r="AR44" s="989">
        <f t="shared" si="250"/>
        <v>0.3857058476077968</v>
      </c>
      <c r="AS44" s="989">
        <f t="shared" si="250"/>
        <v>0.39988459319099828</v>
      </c>
      <c r="AT44" s="989">
        <f t="shared" si="250"/>
        <v>0.41342357586012407</v>
      </c>
      <c r="AU44" s="989">
        <f t="shared" si="250"/>
        <v>0.42318358291735997</v>
      </c>
      <c r="AV44" s="989">
        <f t="shared" si="250"/>
        <v>0.42318358291735997</v>
      </c>
      <c r="AW44" s="989"/>
      <c r="AX44" s="989">
        <f t="shared" ref="AX44:BJ44" si="251">AX41/AX42</f>
        <v>0.4310722100656455</v>
      </c>
      <c r="AY44" s="989">
        <f t="shared" si="251"/>
        <v>0.43874797625472206</v>
      </c>
      <c r="AZ44" s="989">
        <f t="shared" si="251"/>
        <v>0.44621938232161873</v>
      </c>
      <c r="BA44" s="989">
        <f t="shared" si="251"/>
        <v>0.45349448239621648</v>
      </c>
      <c r="BB44" s="989">
        <f t="shared" si="251"/>
        <v>0.46058091286307051</v>
      </c>
      <c r="BC44" s="989">
        <f t="shared" si="251"/>
        <v>0.46748591909882231</v>
      </c>
      <c r="BD44" s="989">
        <f t="shared" si="251"/>
        <v>0.47421638018200202</v>
      </c>
      <c r="BE44" s="989">
        <f t="shared" si="251"/>
        <v>0.48077883175237146</v>
      </c>
      <c r="BF44" s="989">
        <f t="shared" si="251"/>
        <v>0.48717948717948717</v>
      </c>
      <c r="BG44" s="989">
        <f t="shared" si="251"/>
        <v>0.49342425718460792</v>
      </c>
      <c r="BH44" s="989">
        <f t="shared" si="251"/>
        <v>0.49951876804619827</v>
      </c>
      <c r="BI44" s="989">
        <f t="shared" si="251"/>
        <v>0.50546837850689497</v>
      </c>
      <c r="BJ44" s="989">
        <f t="shared" si="251"/>
        <v>0.50546837850689497</v>
      </c>
      <c r="BK44" s="989"/>
      <c r="BL44" s="989">
        <f t="shared" ref="BL44:BX44" si="252">BL41/BL42</f>
        <v>0.50897072710103874</v>
      </c>
      <c r="BM44" s="989">
        <f t="shared" si="252"/>
        <v>0.51242381622128452</v>
      </c>
      <c r="BN44" s="989">
        <f t="shared" si="252"/>
        <v>0.51582867783985098</v>
      </c>
      <c r="BO44" s="989">
        <f t="shared" si="252"/>
        <v>0.51918631530282011</v>
      </c>
      <c r="BP44" s="989">
        <f t="shared" si="252"/>
        <v>0.52249770431588616</v>
      </c>
      <c r="BQ44" s="989">
        <f t="shared" si="252"/>
        <v>0.52576379388964889</v>
      </c>
      <c r="BR44" s="989">
        <f t="shared" si="252"/>
        <v>0.52898550724637683</v>
      </c>
      <c r="BS44" s="989">
        <f t="shared" si="252"/>
        <v>0.53216374269005851</v>
      </c>
      <c r="BT44" s="989">
        <f t="shared" si="252"/>
        <v>0.53529937444146558</v>
      </c>
      <c r="BU44" s="989">
        <f t="shared" si="252"/>
        <v>0.538393253439858</v>
      </c>
      <c r="BV44" s="989">
        <f t="shared" si="252"/>
        <v>0.5414462081128748</v>
      </c>
      <c r="BW44" s="989">
        <f t="shared" si="252"/>
        <v>0.54445904511607535</v>
      </c>
      <c r="BX44" s="989">
        <f t="shared" si="252"/>
        <v>0.54445904511607535</v>
      </c>
      <c r="BY44" s="814"/>
      <c r="BZ44" s="814">
        <f t="shared" ref="BZ44:CL44" si="253">BZ41/BZ42</f>
        <v>0.5474325500435161</v>
      </c>
      <c r="CA44" s="814">
        <f t="shared" si="253"/>
        <v>0.55036748811067882</v>
      </c>
      <c r="CB44" s="814">
        <f t="shared" si="253"/>
        <v>0.5532646048109966</v>
      </c>
      <c r="CC44" s="814">
        <f t="shared" si="253"/>
        <v>0.55612462654716177</v>
      </c>
      <c r="CD44" s="814">
        <f t="shared" si="253"/>
        <v>0.55894826123833763</v>
      </c>
      <c r="CE44" s="814">
        <f t="shared" si="253"/>
        <v>0.56173619890434046</v>
      </c>
      <c r="CF44" s="814">
        <f t="shared" si="253"/>
        <v>0.56448911222780573</v>
      </c>
      <c r="CG44" s="814">
        <f t="shared" si="253"/>
        <v>0.56720765709529752</v>
      </c>
      <c r="CH44" s="814">
        <f t="shared" si="253"/>
        <v>0.56989247311827962</v>
      </c>
      <c r="CI44" s="814">
        <f t="shared" si="253"/>
        <v>0.57254418413481301</v>
      </c>
      <c r="CJ44" s="814">
        <f t="shared" si="253"/>
        <v>0.57516339869281041</v>
      </c>
      <c r="CK44" s="814">
        <f t="shared" si="253"/>
        <v>0.57775071051563132</v>
      </c>
      <c r="CL44" s="989">
        <f t="shared" si="253"/>
        <v>0.57775071051563132</v>
      </c>
      <c r="CM44" s="814"/>
      <c r="CN44" s="814">
        <f t="shared" ref="CN44:CZ44" si="254">CN41/CN42</f>
        <v>0.5803066989507667</v>
      </c>
      <c r="CO44" s="814">
        <f t="shared" si="254"/>
        <v>0.58283192940232653</v>
      </c>
      <c r="CP44" s="814">
        <f t="shared" si="254"/>
        <v>0.58532695374800636</v>
      </c>
      <c r="CQ44" s="814">
        <f t="shared" si="254"/>
        <v>0.5877923107411811</v>
      </c>
      <c r="CR44" s="814">
        <f t="shared" si="254"/>
        <v>0.59022852639873913</v>
      </c>
      <c r="CS44" s="814">
        <f t="shared" si="254"/>
        <v>0.59263611437524477</v>
      </c>
      <c r="CT44" s="814">
        <f t="shared" si="254"/>
        <v>0.59501557632398749</v>
      </c>
      <c r="CU44" s="814">
        <f t="shared" si="254"/>
        <v>0.59736740224545104</v>
      </c>
      <c r="CV44" s="814">
        <f t="shared" si="254"/>
        <v>0.59969207082371057</v>
      </c>
      <c r="CW44" s="814">
        <f t="shared" si="254"/>
        <v>0.60199004975124382</v>
      </c>
      <c r="CX44" s="814">
        <f t="shared" si="254"/>
        <v>0.60426179604261798</v>
      </c>
      <c r="CY44" s="814">
        <f t="shared" si="254"/>
        <v>0.60650775633749532</v>
      </c>
      <c r="CZ44" s="989">
        <f t="shared" si="254"/>
        <v>0.60650775633749532</v>
      </c>
    </row>
    <row r="45" spans="1:104" ht="13.5" customHeight="1" x14ac:dyDescent="0.35">
      <c r="A45" s="990" t="s">
        <v>378</v>
      </c>
      <c r="AD45" s="991">
        <f>(AD43*$D43)+(AD44*$D44)</f>
        <v>0.53103448275862064</v>
      </c>
      <c r="AE45" s="991">
        <f>(AE43*$D43)+(AE44*$D44)</f>
        <v>0.54838709677419351</v>
      </c>
      <c r="AF45" s="991">
        <f>(AF43*$D43)+(AF44*$D44)</f>
        <v>0.56000000000000005</v>
      </c>
      <c r="AG45" s="991">
        <f>(AG43*$D43)+(AG44*$D44)</f>
        <v>0.56888888888888889</v>
      </c>
      <c r="AH45" s="991"/>
      <c r="AI45" s="991"/>
      <c r="AJ45" s="991">
        <f t="shared" ref="AJ45:AU45" si="255">(AJ43*$D43)+(AJ44*$D44)</f>
        <v>0.57109317681584737</v>
      </c>
      <c r="AK45" s="991">
        <f t="shared" si="255"/>
        <v>0.58227494766224708</v>
      </c>
      <c r="AL45" s="991">
        <f t="shared" si="255"/>
        <v>0.59241516966067864</v>
      </c>
      <c r="AM45" s="991">
        <f t="shared" si="255"/>
        <v>0.59713914174252269</v>
      </c>
      <c r="AN45" s="991">
        <f t="shared" si="255"/>
        <v>0.60165289256198351</v>
      </c>
      <c r="AO45" s="991">
        <f t="shared" si="255"/>
        <v>0.60475594493116391</v>
      </c>
      <c r="AP45" s="991">
        <f t="shared" si="255"/>
        <v>0.60776340110905736</v>
      </c>
      <c r="AQ45" s="991">
        <f t="shared" si="255"/>
        <v>0.61125226860254078</v>
      </c>
      <c r="AR45" s="991">
        <f t="shared" si="255"/>
        <v>0.61571175428233904</v>
      </c>
      <c r="AS45" s="991">
        <f t="shared" si="255"/>
        <v>0.61996537795729956</v>
      </c>
      <c r="AT45" s="991">
        <f t="shared" si="255"/>
        <v>0.62402707275803726</v>
      </c>
      <c r="AU45" s="991">
        <f t="shared" si="255"/>
        <v>0.62695507487520796</v>
      </c>
      <c r="AV45" s="991"/>
      <c r="AW45" s="991"/>
      <c r="AX45" s="991">
        <f t="shared" ref="AX45:BI45" si="256">(AX43*$D43)+(AX44*$D44)</f>
        <v>0.62932166301969361</v>
      </c>
      <c r="AY45" s="991">
        <f t="shared" si="256"/>
        <v>0.6316243928764167</v>
      </c>
      <c r="AZ45" s="991">
        <f t="shared" si="256"/>
        <v>0.63386581469648562</v>
      </c>
      <c r="BA45" s="991">
        <f t="shared" si="256"/>
        <v>0.63604834471886496</v>
      </c>
      <c r="BB45" s="991">
        <f t="shared" si="256"/>
        <v>0.63817427385892112</v>
      </c>
      <c r="BC45" s="991">
        <f t="shared" si="256"/>
        <v>0.64024577572964669</v>
      </c>
      <c r="BD45" s="991">
        <f t="shared" si="256"/>
        <v>0.64226491405460062</v>
      </c>
      <c r="BE45" s="991">
        <f t="shared" si="256"/>
        <v>0.64423364952571149</v>
      </c>
      <c r="BF45" s="991">
        <f t="shared" si="256"/>
        <v>0.64615384615384608</v>
      </c>
      <c r="BG45" s="991">
        <f t="shared" si="256"/>
        <v>0.64802727715538233</v>
      </c>
      <c r="BH45" s="991">
        <f t="shared" si="256"/>
        <v>0.64985563041385952</v>
      </c>
      <c r="BI45" s="991">
        <f t="shared" si="256"/>
        <v>0.65164051355206853</v>
      </c>
      <c r="BJ45" s="991"/>
      <c r="BK45" s="991"/>
      <c r="BL45" s="991">
        <f t="shared" ref="BL45:BW45" si="257">(BL43*$D43)+(BL44*$D44)</f>
        <v>0.65269121813031172</v>
      </c>
      <c r="BM45" s="991">
        <f t="shared" si="257"/>
        <v>0.65372714486638539</v>
      </c>
      <c r="BN45" s="991">
        <f t="shared" si="257"/>
        <v>0.65474860335195528</v>
      </c>
      <c r="BO45" s="991">
        <f t="shared" si="257"/>
        <v>0.65575589459084604</v>
      </c>
      <c r="BP45" s="991">
        <f t="shared" si="257"/>
        <v>0.65674931129476588</v>
      </c>
      <c r="BQ45" s="991">
        <f t="shared" si="257"/>
        <v>0.65772913816689471</v>
      </c>
      <c r="BR45" s="991">
        <f t="shared" si="257"/>
        <v>0.65869565217391313</v>
      </c>
      <c r="BS45" s="991">
        <f t="shared" si="257"/>
        <v>0.6596491228070176</v>
      </c>
      <c r="BT45" s="991">
        <f t="shared" si="257"/>
        <v>0.66058981233243963</v>
      </c>
      <c r="BU45" s="991">
        <f t="shared" si="257"/>
        <v>0.6615179760319575</v>
      </c>
      <c r="BV45" s="991">
        <f t="shared" si="257"/>
        <v>0.66243386243386249</v>
      </c>
      <c r="BW45" s="991">
        <f t="shared" si="257"/>
        <v>0.66333771353482263</v>
      </c>
      <c r="BX45" s="989"/>
      <c r="BY45" s="815"/>
      <c r="BZ45" s="815">
        <f t="shared" ref="BZ45:CK45" si="258">(BZ43*$D43)+(BZ44*$D44)</f>
        <v>0.66422976501305486</v>
      </c>
      <c r="CA45" s="815">
        <f t="shared" si="258"/>
        <v>0.66511024643320371</v>
      </c>
      <c r="CB45" s="815">
        <f t="shared" si="258"/>
        <v>0.66597938144329905</v>
      </c>
      <c r="CC45" s="815">
        <f t="shared" si="258"/>
        <v>0.66683738796414849</v>
      </c>
      <c r="CD45" s="815">
        <f t="shared" si="258"/>
        <v>0.66768447837150136</v>
      </c>
      <c r="CE45" s="815">
        <f t="shared" si="258"/>
        <v>0.66852085967130215</v>
      </c>
      <c r="CF45" s="815">
        <f t="shared" si="258"/>
        <v>0.66934673366834174</v>
      </c>
      <c r="CG45" s="815">
        <f t="shared" si="258"/>
        <v>0.67016229712858921</v>
      </c>
      <c r="CH45" s="815">
        <f t="shared" si="258"/>
        <v>0.67096774193548392</v>
      </c>
      <c r="CI45" s="815">
        <f t="shared" si="258"/>
        <v>0.671763255240444</v>
      </c>
      <c r="CJ45" s="815">
        <f t="shared" si="258"/>
        <v>0.67254901960784308</v>
      </c>
      <c r="CK45" s="815">
        <f t="shared" si="258"/>
        <v>0.67332521315468941</v>
      </c>
      <c r="CL45" s="989"/>
      <c r="CM45" s="815"/>
      <c r="CN45" s="815">
        <f t="shared" ref="CN45:CY45" si="259">(CN43*$D43)+(CN44*$D44)</f>
        <v>0.67409200968522998</v>
      </c>
      <c r="CO45" s="815">
        <f t="shared" si="259"/>
        <v>0.67484957882069796</v>
      </c>
      <c r="CP45" s="815">
        <f t="shared" si="259"/>
        <v>0.67559808612440198</v>
      </c>
      <c r="CQ45" s="815">
        <f t="shared" si="259"/>
        <v>0.67633769322235437</v>
      </c>
      <c r="CR45" s="815">
        <f t="shared" si="259"/>
        <v>0.67706855791962173</v>
      </c>
      <c r="CS45" s="815">
        <f t="shared" si="259"/>
        <v>0.67779083431257348</v>
      </c>
      <c r="CT45" s="815">
        <f t="shared" si="259"/>
        <v>0.67850467289719629</v>
      </c>
      <c r="CU45" s="815">
        <f t="shared" si="259"/>
        <v>0.67921022067363535</v>
      </c>
      <c r="CV45" s="815">
        <f t="shared" si="259"/>
        <v>0.67990762124711313</v>
      </c>
      <c r="CW45" s="815">
        <f t="shared" si="259"/>
        <v>0.68059701492537317</v>
      </c>
      <c r="CX45" s="815">
        <f t="shared" si="259"/>
        <v>0.68127853881278544</v>
      </c>
      <c r="CY45" s="815">
        <f t="shared" si="259"/>
        <v>0.68195232690124863</v>
      </c>
      <c r="CZ45" s="989"/>
    </row>
    <row r="46" spans="1:104" ht="14.25" customHeight="1" x14ac:dyDescent="0.35">
      <c r="BY46" s="79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M46" s="79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</row>
    <row r="47" spans="1:104" ht="14.25" customHeight="1" x14ac:dyDescent="0.35">
      <c r="BY47" s="79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M47" s="79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</row>
    <row r="48" spans="1:104" ht="14.25" customHeight="1" x14ac:dyDescent="0.35">
      <c r="B48" s="985" t="s">
        <v>379</v>
      </c>
      <c r="C48" s="985"/>
      <c r="D48" s="992"/>
      <c r="BY48" s="79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M48" s="79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</row>
  </sheetData>
  <mergeCells count="7">
    <mergeCell ref="BZ1:CK1"/>
    <mergeCell ref="CN1:CY1"/>
    <mergeCell ref="H1:S1"/>
    <mergeCell ref="V1:AG1"/>
    <mergeCell ref="AJ1:AU1"/>
    <mergeCell ref="AX1:BI1"/>
    <mergeCell ref="BL1:BW1"/>
  </mergeCells>
  <hyperlinks>
    <hyperlink ref="B37" r:id="rId1" xr:uid="{00000000-0004-0000-0200-000000000000}"/>
    <hyperlink ref="B38" r:id="rId2" xr:uid="{00000000-0004-0000-0200-000001000000}"/>
  </hyperlinks>
  <pageMargins left="0.7" right="0.7" top="0.78749999999999998" bottom="0.78749999999999998" header="0.511811023622047" footer="0.511811023622047"/>
  <pageSetup paperSize="9" scale="61" orientation="landscape" horizontalDpi="300" verticalDpi="300" r:id="rId3"/>
  <colBreaks count="4" manualBreakCount="4">
    <brk id="20" max="1048575" man="1"/>
    <brk id="34" max="1048575" man="1"/>
    <brk id="48" max="1048575" man="1"/>
    <brk id="62" max="1048575" man="1"/>
  </colBreaks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W34"/>
  <sheetViews>
    <sheetView showGridLines="0" view="pageBreakPreview" zoomScale="75" zoomScaleNormal="100" zoomScaleSheetLayoutView="75" workbookViewId="0">
      <pane xSplit="4" topLeftCell="CE1" activePane="topRight" state="frozen"/>
      <selection activeCell="A7" sqref="A7"/>
      <selection pane="topRight" activeCell="CR13" sqref="CR13"/>
    </sheetView>
  </sheetViews>
  <sheetFormatPr baseColWidth="10" defaultColWidth="11.54296875" defaultRowHeight="12.75" customHeight="1" x14ac:dyDescent="0.3"/>
  <cols>
    <col min="1" max="1" width="21.81640625" style="133" customWidth="1"/>
    <col min="2" max="2" width="15.7265625" style="133" customWidth="1"/>
    <col min="3" max="3" width="5.453125" style="133" customWidth="1"/>
    <col min="4" max="4" width="11.54296875" style="133"/>
    <col min="5" max="5" width="6" style="133" customWidth="1"/>
    <col min="6" max="6" width="6" style="133" hidden="1" customWidth="1"/>
    <col min="7" max="7" width="5.453125" style="133" hidden="1" customWidth="1"/>
    <col min="8" max="8" width="6" style="133" hidden="1" customWidth="1"/>
    <col min="9" max="9" width="5.7265625" style="133" hidden="1" customWidth="1"/>
    <col min="10" max="14" width="5.453125" style="133" hidden="1" customWidth="1"/>
    <col min="15" max="15" width="5.1796875" style="133" hidden="1" customWidth="1"/>
    <col min="16" max="16" width="5.7265625" style="133" hidden="1" customWidth="1"/>
    <col min="17" max="17" width="5.453125" style="133" hidden="1" customWidth="1"/>
    <col min="18" max="18" width="4.81640625" style="133" hidden="1" customWidth="1"/>
    <col min="19" max="19" width="8.26953125" style="133" hidden="1" customWidth="1"/>
    <col min="20" max="20" width="11.54296875" style="133" hidden="1"/>
    <col min="21" max="24" width="7.7265625" style="133" customWidth="1"/>
    <col min="25" max="25" width="9" style="133" customWidth="1"/>
    <col min="26" max="32" width="7.7265625" style="133" customWidth="1"/>
    <col min="33" max="33" width="8.81640625" style="133" customWidth="1"/>
    <col min="34" max="34" width="11.54296875" style="133"/>
    <col min="35" max="35" width="8" style="133" customWidth="1"/>
    <col min="36" max="36" width="8.7265625" style="133" customWidth="1"/>
    <col min="37" max="37" width="9.453125" style="133" customWidth="1"/>
    <col min="38" max="38" width="10.1796875" style="133" customWidth="1"/>
    <col min="39" max="39" width="8.54296875" style="133" customWidth="1"/>
    <col min="40" max="40" width="8.453125" style="133" customWidth="1"/>
    <col min="41" max="41" width="7.7265625" style="133" customWidth="1"/>
    <col min="42" max="42" width="8.1796875" style="133" customWidth="1"/>
    <col min="43" max="43" width="7.54296875" style="133" customWidth="1"/>
    <col min="44" max="44" width="8.453125" style="133" customWidth="1"/>
    <col min="45" max="45" width="8.1796875" style="133" customWidth="1"/>
    <col min="46" max="46" width="8" style="133" customWidth="1"/>
    <col min="47" max="47" width="10" style="133" customWidth="1"/>
    <col min="48" max="16384" width="11.54296875" style="133"/>
  </cols>
  <sheetData>
    <row r="1" spans="1:100" s="30" customFormat="1" ht="14.5" x14ac:dyDescent="0.4">
      <c r="A1" s="35" t="s">
        <v>730</v>
      </c>
      <c r="B1" s="35"/>
      <c r="C1" s="37"/>
      <c r="D1" s="37"/>
      <c r="E1" s="715">
        <v>2023</v>
      </c>
      <c r="F1" s="715">
        <v>2023</v>
      </c>
      <c r="G1" s="1053">
        <v>2024</v>
      </c>
      <c r="H1" s="1053"/>
      <c r="I1" s="1053"/>
      <c r="J1" s="1053"/>
      <c r="K1" s="1053"/>
      <c r="L1" s="1053"/>
      <c r="M1" s="1053"/>
      <c r="N1" s="1053"/>
      <c r="O1" s="1053"/>
      <c r="P1" s="1053"/>
      <c r="Q1" s="1053"/>
      <c r="R1" s="1053"/>
      <c r="S1" s="198">
        <v>2024</v>
      </c>
      <c r="T1" s="41"/>
      <c r="U1" s="1054">
        <v>2025</v>
      </c>
      <c r="V1" s="1054"/>
      <c r="W1" s="1054"/>
      <c r="X1" s="1054"/>
      <c r="Y1" s="1054"/>
      <c r="Z1" s="1054"/>
      <c r="AA1" s="1054"/>
      <c r="AB1" s="1054"/>
      <c r="AC1" s="1054"/>
      <c r="AD1" s="1054"/>
      <c r="AE1" s="1054"/>
      <c r="AF1" s="1054"/>
      <c r="AG1" s="199">
        <v>2025</v>
      </c>
      <c r="AH1" s="200"/>
      <c r="AI1" s="201">
        <v>2026</v>
      </c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0">
        <v>2026</v>
      </c>
      <c r="AV1" s="1026"/>
      <c r="AW1" s="1025">
        <v>2027</v>
      </c>
      <c r="AX1" s="1025"/>
      <c r="AY1" s="1025"/>
      <c r="AZ1" s="1025"/>
      <c r="BA1" s="1025"/>
      <c r="BB1" s="1025"/>
      <c r="BC1" s="1025"/>
      <c r="BD1" s="1025"/>
      <c r="BE1" s="1025"/>
      <c r="BF1" s="1025"/>
      <c r="BG1" s="1025"/>
      <c r="BH1" s="1025"/>
      <c r="BI1" s="1026">
        <v>2027</v>
      </c>
      <c r="BJ1" s="1025">
        <v>2028</v>
      </c>
      <c r="BK1" s="1025"/>
      <c r="BL1" s="1025"/>
      <c r="BM1" s="1025"/>
      <c r="BN1" s="1025"/>
      <c r="BO1" s="1025"/>
      <c r="BP1" s="1025"/>
      <c r="BQ1" s="1025"/>
      <c r="BR1" s="1025"/>
      <c r="BS1" s="1025"/>
      <c r="BT1" s="1025"/>
      <c r="BU1" s="1025"/>
      <c r="BV1" s="1026">
        <v>2028</v>
      </c>
      <c r="BW1" s="1025">
        <v>2029</v>
      </c>
      <c r="BX1" s="1025"/>
      <c r="BY1" s="1025"/>
      <c r="BZ1" s="1025"/>
      <c r="CA1" s="1025"/>
      <c r="CB1" s="1025"/>
      <c r="CC1" s="1025"/>
      <c r="CD1" s="1025"/>
      <c r="CE1" s="1025"/>
      <c r="CF1" s="1025"/>
      <c r="CG1" s="1025"/>
      <c r="CH1" s="1025"/>
      <c r="CI1" s="1026">
        <v>2029</v>
      </c>
      <c r="CJ1" s="1025">
        <v>2030</v>
      </c>
      <c r="CK1" s="1025"/>
      <c r="CL1" s="1025"/>
      <c r="CM1" s="1025"/>
      <c r="CN1" s="1025"/>
      <c r="CO1" s="1025"/>
      <c r="CP1" s="1025"/>
      <c r="CQ1" s="1025"/>
      <c r="CR1" s="1025"/>
      <c r="CS1" s="1025"/>
      <c r="CT1" s="1025"/>
      <c r="CU1" s="1025"/>
      <c r="CV1" s="1026">
        <v>2030</v>
      </c>
    </row>
    <row r="2" spans="1:100" ht="14.5" x14ac:dyDescent="0.4">
      <c r="A2" s="44" t="s">
        <v>731</v>
      </c>
      <c r="B2" s="30"/>
      <c r="C2" s="194"/>
      <c r="D2" s="30"/>
      <c r="E2" s="194"/>
      <c r="F2" s="716"/>
      <c r="G2" s="194">
        <v>2</v>
      </c>
      <c r="H2" s="194">
        <v>3</v>
      </c>
      <c r="I2" s="194">
        <v>4</v>
      </c>
      <c r="J2" s="194">
        <v>5</v>
      </c>
      <c r="K2" s="194">
        <v>6</v>
      </c>
      <c r="L2" s="194">
        <v>7</v>
      </c>
      <c r="M2" s="194">
        <v>8</v>
      </c>
      <c r="N2" s="194">
        <v>9</v>
      </c>
      <c r="O2" s="194">
        <v>10</v>
      </c>
      <c r="P2" s="194">
        <v>11</v>
      </c>
      <c r="Q2" s="194">
        <v>12</v>
      </c>
      <c r="R2" s="194">
        <v>1</v>
      </c>
      <c r="S2" s="184"/>
      <c r="T2" s="204"/>
      <c r="U2" s="194">
        <v>2</v>
      </c>
      <c r="V2" s="194">
        <v>3</v>
      </c>
      <c r="W2" s="194">
        <v>4</v>
      </c>
      <c r="X2" s="194">
        <v>5</v>
      </c>
      <c r="Y2" s="194">
        <v>6</v>
      </c>
      <c r="Z2" s="194">
        <v>7</v>
      </c>
      <c r="AA2" s="194">
        <v>8</v>
      </c>
      <c r="AB2" s="194">
        <v>9</v>
      </c>
      <c r="AC2" s="194">
        <v>10</v>
      </c>
      <c r="AD2" s="194">
        <v>11</v>
      </c>
      <c r="AE2" s="194">
        <v>12</v>
      </c>
      <c r="AF2" s="194">
        <v>1</v>
      </c>
      <c r="AG2" s="516"/>
      <c r="AH2" s="205"/>
      <c r="AI2" s="194">
        <v>2</v>
      </c>
      <c r="AJ2" s="194">
        <v>3</v>
      </c>
      <c r="AK2" s="194">
        <v>4</v>
      </c>
      <c r="AL2" s="194">
        <v>5</v>
      </c>
      <c r="AM2" s="194">
        <v>6</v>
      </c>
      <c r="AN2" s="194">
        <v>7</v>
      </c>
      <c r="AO2" s="194">
        <v>8</v>
      </c>
      <c r="AP2" s="194">
        <v>9</v>
      </c>
      <c r="AQ2" s="194">
        <v>10</v>
      </c>
      <c r="AR2" s="194">
        <v>11</v>
      </c>
      <c r="AS2" s="194">
        <v>12</v>
      </c>
      <c r="AT2" s="194">
        <v>1</v>
      </c>
      <c r="AU2" s="205"/>
      <c r="AV2" s="205"/>
      <c r="AW2" s="194">
        <v>2</v>
      </c>
      <c r="AX2" s="194">
        <v>3</v>
      </c>
      <c r="AY2" s="194">
        <v>4</v>
      </c>
      <c r="AZ2" s="194">
        <v>5</v>
      </c>
      <c r="BA2" s="194">
        <v>6</v>
      </c>
      <c r="BB2" s="194">
        <v>7</v>
      </c>
      <c r="BC2" s="194">
        <v>8</v>
      </c>
      <c r="BD2" s="194">
        <v>9</v>
      </c>
      <c r="BE2" s="194">
        <v>10</v>
      </c>
      <c r="BF2" s="194">
        <v>11</v>
      </c>
      <c r="BG2" s="194">
        <v>12</v>
      </c>
      <c r="BH2" s="194">
        <v>1</v>
      </c>
      <c r="BI2" s="205"/>
      <c r="BJ2" s="194">
        <v>2</v>
      </c>
      <c r="BK2" s="194">
        <v>3</v>
      </c>
      <c r="BL2" s="194">
        <v>4</v>
      </c>
      <c r="BM2" s="194">
        <v>5</v>
      </c>
      <c r="BN2" s="194">
        <v>6</v>
      </c>
      <c r="BO2" s="194">
        <v>7</v>
      </c>
      <c r="BP2" s="194">
        <v>8</v>
      </c>
      <c r="BQ2" s="194">
        <v>9</v>
      </c>
      <c r="BR2" s="194">
        <v>10</v>
      </c>
      <c r="BS2" s="194">
        <v>11</v>
      </c>
      <c r="BT2" s="194">
        <v>12</v>
      </c>
      <c r="BU2" s="194">
        <v>1</v>
      </c>
      <c r="BV2" s="205"/>
      <c r="BW2" s="194">
        <v>2</v>
      </c>
      <c r="BX2" s="194">
        <v>3</v>
      </c>
      <c r="BY2" s="194">
        <v>4</v>
      </c>
      <c r="BZ2" s="194">
        <v>5</v>
      </c>
      <c r="CA2" s="194">
        <v>6</v>
      </c>
      <c r="CB2" s="194">
        <v>7</v>
      </c>
      <c r="CC2" s="194">
        <v>8</v>
      </c>
      <c r="CD2" s="194">
        <v>9</v>
      </c>
      <c r="CE2" s="194">
        <v>10</v>
      </c>
      <c r="CF2" s="194">
        <v>11</v>
      </c>
      <c r="CG2" s="194">
        <v>12</v>
      </c>
      <c r="CH2" s="194">
        <v>1</v>
      </c>
      <c r="CI2" s="205"/>
      <c r="CJ2" s="194">
        <v>2</v>
      </c>
      <c r="CK2" s="194">
        <v>3</v>
      </c>
      <c r="CL2" s="194">
        <v>4</v>
      </c>
      <c r="CM2" s="194">
        <v>5</v>
      </c>
      <c r="CN2" s="194">
        <v>6</v>
      </c>
      <c r="CO2" s="194">
        <v>7</v>
      </c>
      <c r="CP2" s="194">
        <v>8</v>
      </c>
      <c r="CQ2" s="194">
        <v>9</v>
      </c>
      <c r="CR2" s="194">
        <v>10</v>
      </c>
      <c r="CS2" s="194">
        <v>11</v>
      </c>
      <c r="CT2" s="194">
        <v>12</v>
      </c>
      <c r="CU2" s="194">
        <v>1</v>
      </c>
      <c r="CV2" s="205"/>
    </row>
    <row r="3" spans="1:100" ht="15" customHeight="1" x14ac:dyDescent="0.4">
      <c r="A3" s="30"/>
      <c r="B3" s="1055"/>
      <c r="C3" s="1055"/>
      <c r="D3" s="30"/>
      <c r="E3" s="194"/>
      <c r="F3" s="716"/>
      <c r="G3" s="194" t="s">
        <v>732</v>
      </c>
      <c r="H3" s="194" t="s">
        <v>733</v>
      </c>
      <c r="I3" s="194" t="s">
        <v>734</v>
      </c>
      <c r="J3" s="194" t="s">
        <v>735</v>
      </c>
      <c r="K3" s="194" t="s">
        <v>736</v>
      </c>
      <c r="L3" s="194" t="s">
        <v>737</v>
      </c>
      <c r="M3" s="194" t="s">
        <v>738</v>
      </c>
      <c r="N3" s="194" t="s">
        <v>739</v>
      </c>
      <c r="O3" s="194" t="s">
        <v>740</v>
      </c>
      <c r="P3" s="194" t="s">
        <v>741</v>
      </c>
      <c r="Q3" s="194" t="s">
        <v>742</v>
      </c>
      <c r="R3" s="194" t="s">
        <v>743</v>
      </c>
      <c r="S3" s="184" t="s">
        <v>336</v>
      </c>
      <c r="T3" s="204"/>
      <c r="U3" s="194" t="s">
        <v>732</v>
      </c>
      <c r="V3" s="194" t="s">
        <v>733</v>
      </c>
      <c r="W3" s="194" t="s">
        <v>734</v>
      </c>
      <c r="X3" s="194" t="s">
        <v>735</v>
      </c>
      <c r="Y3" s="194" t="s">
        <v>736</v>
      </c>
      <c r="Z3" s="194" t="s">
        <v>737</v>
      </c>
      <c r="AA3" s="194" t="s">
        <v>738</v>
      </c>
      <c r="AB3" s="194" t="s">
        <v>739</v>
      </c>
      <c r="AC3" s="194" t="s">
        <v>740</v>
      </c>
      <c r="AD3" s="194" t="s">
        <v>741</v>
      </c>
      <c r="AE3" s="194" t="s">
        <v>742</v>
      </c>
      <c r="AF3" s="194" t="s">
        <v>743</v>
      </c>
      <c r="AG3" s="516" t="s">
        <v>336</v>
      </c>
      <c r="AH3" s="205"/>
      <c r="AI3" s="194" t="s">
        <v>732</v>
      </c>
      <c r="AJ3" s="194" t="s">
        <v>733</v>
      </c>
      <c r="AK3" s="194" t="s">
        <v>734</v>
      </c>
      <c r="AL3" s="194" t="s">
        <v>735</v>
      </c>
      <c r="AM3" s="194" t="s">
        <v>736</v>
      </c>
      <c r="AN3" s="194" t="s">
        <v>737</v>
      </c>
      <c r="AO3" s="194" t="s">
        <v>738</v>
      </c>
      <c r="AP3" s="194" t="s">
        <v>739</v>
      </c>
      <c r="AQ3" s="194" t="s">
        <v>740</v>
      </c>
      <c r="AR3" s="194" t="s">
        <v>741</v>
      </c>
      <c r="AS3" s="194" t="s">
        <v>742</v>
      </c>
      <c r="AT3" s="194" t="s">
        <v>743</v>
      </c>
      <c r="AU3" s="205"/>
      <c r="AV3" s="205"/>
      <c r="AW3" s="194" t="s">
        <v>732</v>
      </c>
      <c r="AX3" s="194" t="s">
        <v>733</v>
      </c>
      <c r="AY3" s="194" t="s">
        <v>734</v>
      </c>
      <c r="AZ3" s="194" t="s">
        <v>735</v>
      </c>
      <c r="BA3" s="194" t="s">
        <v>736</v>
      </c>
      <c r="BB3" s="194" t="s">
        <v>737</v>
      </c>
      <c r="BC3" s="194" t="s">
        <v>738</v>
      </c>
      <c r="BD3" s="194" t="s">
        <v>739</v>
      </c>
      <c r="BE3" s="194" t="s">
        <v>740</v>
      </c>
      <c r="BF3" s="194" t="s">
        <v>741</v>
      </c>
      <c r="BG3" s="194" t="s">
        <v>742</v>
      </c>
      <c r="BH3" s="194" t="s">
        <v>743</v>
      </c>
      <c r="BI3" s="205"/>
      <c r="BJ3" s="194" t="s">
        <v>732</v>
      </c>
      <c r="BK3" s="194" t="s">
        <v>733</v>
      </c>
      <c r="BL3" s="194" t="s">
        <v>734</v>
      </c>
      <c r="BM3" s="194" t="s">
        <v>735</v>
      </c>
      <c r="BN3" s="194" t="s">
        <v>736</v>
      </c>
      <c r="BO3" s="194" t="s">
        <v>737</v>
      </c>
      <c r="BP3" s="194" t="s">
        <v>738</v>
      </c>
      <c r="BQ3" s="194" t="s">
        <v>739</v>
      </c>
      <c r="BR3" s="194" t="s">
        <v>740</v>
      </c>
      <c r="BS3" s="194" t="s">
        <v>741</v>
      </c>
      <c r="BT3" s="194" t="s">
        <v>742</v>
      </c>
      <c r="BU3" s="194" t="s">
        <v>743</v>
      </c>
      <c r="BV3" s="205"/>
      <c r="BW3" s="194" t="s">
        <v>732</v>
      </c>
      <c r="BX3" s="194" t="s">
        <v>733</v>
      </c>
      <c r="BY3" s="194" t="s">
        <v>734</v>
      </c>
      <c r="BZ3" s="194" t="s">
        <v>735</v>
      </c>
      <c r="CA3" s="194" t="s">
        <v>736</v>
      </c>
      <c r="CB3" s="194" t="s">
        <v>737</v>
      </c>
      <c r="CC3" s="194" t="s">
        <v>738</v>
      </c>
      <c r="CD3" s="194" t="s">
        <v>739</v>
      </c>
      <c r="CE3" s="194" t="s">
        <v>740</v>
      </c>
      <c r="CF3" s="194" t="s">
        <v>741</v>
      </c>
      <c r="CG3" s="194" t="s">
        <v>742</v>
      </c>
      <c r="CH3" s="194" t="s">
        <v>743</v>
      </c>
      <c r="CI3" s="205"/>
      <c r="CJ3" s="194" t="s">
        <v>732</v>
      </c>
      <c r="CK3" s="194" t="s">
        <v>733</v>
      </c>
      <c r="CL3" s="194" t="s">
        <v>734</v>
      </c>
      <c r="CM3" s="194" t="s">
        <v>735</v>
      </c>
      <c r="CN3" s="194" t="s">
        <v>736</v>
      </c>
      <c r="CO3" s="194" t="s">
        <v>737</v>
      </c>
      <c r="CP3" s="194" t="s">
        <v>738</v>
      </c>
      <c r="CQ3" s="194" t="s">
        <v>739</v>
      </c>
      <c r="CR3" s="194" t="s">
        <v>740</v>
      </c>
      <c r="CS3" s="194" t="s">
        <v>741</v>
      </c>
      <c r="CT3" s="194" t="s">
        <v>742</v>
      </c>
      <c r="CU3" s="194" t="s">
        <v>743</v>
      </c>
      <c r="CV3" s="205"/>
    </row>
    <row r="4" spans="1:100" ht="13" x14ac:dyDescent="0.3">
      <c r="B4" s="1055"/>
      <c r="C4" s="1055"/>
      <c r="F4" s="717"/>
      <c r="S4" s="718"/>
      <c r="T4" s="719"/>
      <c r="AG4" s="719"/>
      <c r="AH4" s="720"/>
      <c r="AV4" s="720"/>
      <c r="BI4" s="1035"/>
      <c r="BV4" s="1042"/>
      <c r="CI4" s="1042"/>
      <c r="CV4" s="1042"/>
    </row>
    <row r="5" spans="1:100" ht="13" x14ac:dyDescent="0.3">
      <c r="F5" s="717"/>
      <c r="S5" s="718"/>
      <c r="T5" s="719"/>
      <c r="AG5" s="719"/>
      <c r="AH5" s="720"/>
      <c r="AV5" s="720"/>
      <c r="BI5" s="1035"/>
      <c r="BV5" s="1042"/>
      <c r="CI5" s="1042"/>
      <c r="CV5" s="1042"/>
    </row>
    <row r="6" spans="1:100" ht="13" x14ac:dyDescent="0.3">
      <c r="F6" s="717"/>
      <c r="S6" s="718"/>
      <c r="T6" s="719"/>
      <c r="AG6" s="719"/>
      <c r="AH6" s="720"/>
      <c r="AV6" s="720"/>
      <c r="BI6" s="1035"/>
      <c r="BV6" s="1042"/>
      <c r="CI6" s="1042"/>
      <c r="CV6" s="1042"/>
    </row>
    <row r="7" spans="1:100" ht="13" x14ac:dyDescent="0.3">
      <c r="A7" s="721" t="s">
        <v>744</v>
      </c>
      <c r="F7" s="717"/>
      <c r="S7" s="718"/>
      <c r="T7" s="719"/>
      <c r="AG7" s="719"/>
      <c r="AH7" s="720"/>
      <c r="AV7" s="720"/>
      <c r="BI7" s="1035"/>
      <c r="BV7" s="1042"/>
      <c r="CI7" s="1042"/>
      <c r="CV7" s="1042"/>
    </row>
    <row r="8" spans="1:100" ht="13" x14ac:dyDescent="0.3">
      <c r="A8" s="166" t="s">
        <v>852</v>
      </c>
      <c r="B8" s="166"/>
      <c r="C8" s="166"/>
      <c r="D8" s="166"/>
      <c r="E8" s="166"/>
      <c r="F8" s="717"/>
      <c r="G8" s="722"/>
      <c r="H8" s="722"/>
      <c r="I8" s="722"/>
      <c r="J8" s="722">
        <v>25</v>
      </c>
      <c r="K8" s="722">
        <v>25</v>
      </c>
      <c r="L8" s="722">
        <v>25</v>
      </c>
      <c r="M8" s="722">
        <v>25</v>
      </c>
      <c r="N8" s="166">
        <v>25</v>
      </c>
      <c r="O8" s="166"/>
      <c r="P8" s="166"/>
      <c r="Q8" s="166"/>
      <c r="R8" s="166"/>
      <c r="S8" s="718">
        <f t="shared" ref="S8:S13" si="0">SUM(G8:R8)</f>
        <v>125</v>
      </c>
      <c r="T8" s="719"/>
      <c r="U8" s="166">
        <v>6</v>
      </c>
      <c r="V8" s="166">
        <f>U8</f>
        <v>6</v>
      </c>
      <c r="W8" s="166">
        <f>V8</f>
        <v>6</v>
      </c>
      <c r="X8" s="166">
        <f>W8</f>
        <v>6</v>
      </c>
      <c r="Y8" s="166">
        <f>X8</f>
        <v>6</v>
      </c>
      <c r="Z8" s="166">
        <v>25</v>
      </c>
      <c r="AA8" s="166">
        <f t="shared" ref="AA8:AF11" si="1">Z8</f>
        <v>25</v>
      </c>
      <c r="AB8" s="166">
        <f t="shared" si="1"/>
        <v>25</v>
      </c>
      <c r="AC8" s="166">
        <f t="shared" si="1"/>
        <v>25</v>
      </c>
      <c r="AD8" s="166">
        <f t="shared" si="1"/>
        <v>25</v>
      </c>
      <c r="AE8" s="166">
        <f t="shared" si="1"/>
        <v>25</v>
      </c>
      <c r="AF8" s="166">
        <f t="shared" si="1"/>
        <v>25</v>
      </c>
      <c r="AG8" s="719"/>
      <c r="AH8" s="720"/>
      <c r="AI8" s="1027">
        <f t="shared" ref="AI8:AT13" si="2">$AF8</f>
        <v>25</v>
      </c>
      <c r="AJ8" s="1027">
        <f t="shared" si="2"/>
        <v>25</v>
      </c>
      <c r="AK8" s="1027">
        <f t="shared" si="2"/>
        <v>25</v>
      </c>
      <c r="AL8" s="1027">
        <f t="shared" si="2"/>
        <v>25</v>
      </c>
      <c r="AM8" s="1027">
        <f t="shared" si="2"/>
        <v>25</v>
      </c>
      <c r="AN8" s="1027">
        <f t="shared" si="2"/>
        <v>25</v>
      </c>
      <c r="AO8" s="1027">
        <f t="shared" si="2"/>
        <v>25</v>
      </c>
      <c r="AP8" s="1027">
        <f t="shared" si="2"/>
        <v>25</v>
      </c>
      <c r="AQ8" s="1027">
        <f t="shared" si="2"/>
        <v>25</v>
      </c>
      <c r="AR8" s="1027">
        <f t="shared" si="2"/>
        <v>25</v>
      </c>
      <c r="AS8" s="1027">
        <f t="shared" si="2"/>
        <v>25</v>
      </c>
      <c r="AT8" s="1027">
        <f t="shared" si="2"/>
        <v>25</v>
      </c>
      <c r="AU8" s="1027"/>
      <c r="AV8" s="1028"/>
      <c r="AW8" s="1027">
        <f t="shared" ref="AW8:BH13" si="3">$AF8</f>
        <v>25</v>
      </c>
      <c r="AX8" s="1027">
        <f t="shared" si="3"/>
        <v>25</v>
      </c>
      <c r="AY8" s="1027">
        <f t="shared" si="3"/>
        <v>25</v>
      </c>
      <c r="AZ8" s="1027">
        <f t="shared" si="3"/>
        <v>25</v>
      </c>
      <c r="BA8" s="1027">
        <f t="shared" si="3"/>
        <v>25</v>
      </c>
      <c r="BB8" s="1027">
        <v>25</v>
      </c>
      <c r="BC8" s="1027">
        <v>25</v>
      </c>
      <c r="BD8" s="1027">
        <v>25</v>
      </c>
      <c r="BE8" s="1027">
        <v>25</v>
      </c>
      <c r="BF8" s="1027">
        <v>25</v>
      </c>
      <c r="BG8" s="1027">
        <v>25</v>
      </c>
      <c r="BH8" s="1027">
        <v>25</v>
      </c>
      <c r="BI8" s="1035"/>
      <c r="BJ8" s="1027">
        <f>BH8</f>
        <v>25</v>
      </c>
      <c r="BK8" s="1027">
        <f>BJ8</f>
        <v>25</v>
      </c>
      <c r="BL8" s="1027">
        <f t="shared" ref="BL8:BU8" si="4">BK8</f>
        <v>25</v>
      </c>
      <c r="BM8" s="1027">
        <f t="shared" si="4"/>
        <v>25</v>
      </c>
      <c r="BN8" s="1027">
        <f t="shared" si="4"/>
        <v>25</v>
      </c>
      <c r="BO8" s="1027">
        <f t="shared" si="4"/>
        <v>25</v>
      </c>
      <c r="BP8" s="1027">
        <f t="shared" si="4"/>
        <v>25</v>
      </c>
      <c r="BQ8" s="1027">
        <f t="shared" si="4"/>
        <v>25</v>
      </c>
      <c r="BR8" s="1027">
        <f t="shared" si="4"/>
        <v>25</v>
      </c>
      <c r="BS8" s="1027">
        <f t="shared" si="4"/>
        <v>25</v>
      </c>
      <c r="BT8" s="1027">
        <f t="shared" si="4"/>
        <v>25</v>
      </c>
      <c r="BU8" s="1027">
        <f t="shared" si="4"/>
        <v>25</v>
      </c>
      <c r="BV8" s="1035"/>
      <c r="BW8" s="1027">
        <v>30</v>
      </c>
      <c r="BX8" s="1027">
        <f>BW8</f>
        <v>30</v>
      </c>
      <c r="BY8" s="1027">
        <f t="shared" ref="BY8:CH8" si="5">BW8</f>
        <v>30</v>
      </c>
      <c r="BZ8" s="1027">
        <f t="shared" si="5"/>
        <v>30</v>
      </c>
      <c r="CA8" s="1027">
        <f t="shared" si="5"/>
        <v>30</v>
      </c>
      <c r="CB8" s="1027">
        <f t="shared" si="5"/>
        <v>30</v>
      </c>
      <c r="CC8" s="1027">
        <f t="shared" si="5"/>
        <v>30</v>
      </c>
      <c r="CD8" s="1027">
        <f t="shared" si="5"/>
        <v>30</v>
      </c>
      <c r="CE8" s="1027">
        <f t="shared" si="5"/>
        <v>30</v>
      </c>
      <c r="CF8" s="1027">
        <f t="shared" si="5"/>
        <v>30</v>
      </c>
      <c r="CG8" s="1027">
        <f t="shared" si="5"/>
        <v>30</v>
      </c>
      <c r="CH8" s="1027">
        <f t="shared" si="5"/>
        <v>30</v>
      </c>
      <c r="CI8" s="1035"/>
      <c r="CJ8" s="1027">
        <f>CH8</f>
        <v>30</v>
      </c>
      <c r="CK8" s="1027">
        <f>CJ8</f>
        <v>30</v>
      </c>
      <c r="CL8" s="1027">
        <f t="shared" ref="CL8:CU8" si="6">CJ8</f>
        <v>30</v>
      </c>
      <c r="CM8" s="1027">
        <f t="shared" si="6"/>
        <v>30</v>
      </c>
      <c r="CN8" s="1027">
        <f t="shared" si="6"/>
        <v>30</v>
      </c>
      <c r="CO8" s="1027">
        <f t="shared" si="6"/>
        <v>30</v>
      </c>
      <c r="CP8" s="1027">
        <f t="shared" si="6"/>
        <v>30</v>
      </c>
      <c r="CQ8" s="1027">
        <f t="shared" si="6"/>
        <v>30</v>
      </c>
      <c r="CR8" s="1027">
        <f t="shared" si="6"/>
        <v>30</v>
      </c>
      <c r="CS8" s="1027">
        <f t="shared" si="6"/>
        <v>30</v>
      </c>
      <c r="CT8" s="1027">
        <f t="shared" si="6"/>
        <v>30</v>
      </c>
      <c r="CU8" s="1027">
        <f t="shared" si="6"/>
        <v>30</v>
      </c>
      <c r="CV8" s="1035"/>
    </row>
    <row r="9" spans="1:100" s="721" customFormat="1" ht="13" x14ac:dyDescent="0.3">
      <c r="A9" s="166" t="s">
        <v>853</v>
      </c>
      <c r="B9" s="166"/>
      <c r="C9" s="166"/>
      <c r="D9" s="166"/>
      <c r="E9" s="166"/>
      <c r="F9" s="717"/>
      <c r="G9" s="722">
        <v>25</v>
      </c>
      <c r="H9" s="722">
        <v>25</v>
      </c>
      <c r="I9" s="722">
        <v>25</v>
      </c>
      <c r="J9" s="722">
        <v>25</v>
      </c>
      <c r="K9" s="722">
        <v>25</v>
      </c>
      <c r="L9" s="722">
        <v>25</v>
      </c>
      <c r="M9" s="722">
        <v>25</v>
      </c>
      <c r="N9" s="166">
        <v>25</v>
      </c>
      <c r="O9" s="166">
        <v>25</v>
      </c>
      <c r="P9" s="166">
        <v>25</v>
      </c>
      <c r="Q9" s="166">
        <v>25</v>
      </c>
      <c r="R9" s="166">
        <v>25</v>
      </c>
      <c r="S9" s="718">
        <f t="shared" si="0"/>
        <v>300</v>
      </c>
      <c r="T9" s="719"/>
      <c r="U9" s="166">
        <v>25</v>
      </c>
      <c r="V9" s="166">
        <v>25</v>
      </c>
      <c r="W9" s="166">
        <v>25</v>
      </c>
      <c r="X9" s="166">
        <v>25</v>
      </c>
      <c r="Y9" s="166">
        <v>25</v>
      </c>
      <c r="Z9" s="166">
        <v>25</v>
      </c>
      <c r="AA9" s="166">
        <f t="shared" si="1"/>
        <v>25</v>
      </c>
      <c r="AB9" s="166">
        <f t="shared" si="1"/>
        <v>25</v>
      </c>
      <c r="AC9" s="166">
        <f t="shared" si="1"/>
        <v>25</v>
      </c>
      <c r="AD9" s="166">
        <f t="shared" si="1"/>
        <v>25</v>
      </c>
      <c r="AE9" s="166">
        <f t="shared" si="1"/>
        <v>25</v>
      </c>
      <c r="AF9" s="166">
        <f t="shared" si="1"/>
        <v>25</v>
      </c>
      <c r="AG9" s="719"/>
      <c r="AH9" s="720"/>
      <c r="AI9" s="1027">
        <f t="shared" si="2"/>
        <v>25</v>
      </c>
      <c r="AJ9" s="1027">
        <f t="shared" si="2"/>
        <v>25</v>
      </c>
      <c r="AK9" s="1027">
        <f t="shared" si="2"/>
        <v>25</v>
      </c>
      <c r="AL9" s="1027">
        <f t="shared" si="2"/>
        <v>25</v>
      </c>
      <c r="AM9" s="1027">
        <f t="shared" si="2"/>
        <v>25</v>
      </c>
      <c r="AN9" s="1027">
        <f t="shared" si="2"/>
        <v>25</v>
      </c>
      <c r="AO9" s="1027">
        <f t="shared" si="2"/>
        <v>25</v>
      </c>
      <c r="AP9" s="1027">
        <f t="shared" si="2"/>
        <v>25</v>
      </c>
      <c r="AQ9" s="1027">
        <f t="shared" si="2"/>
        <v>25</v>
      </c>
      <c r="AR9" s="1027">
        <f t="shared" si="2"/>
        <v>25</v>
      </c>
      <c r="AS9" s="1027">
        <f t="shared" si="2"/>
        <v>25</v>
      </c>
      <c r="AT9" s="1027">
        <f t="shared" si="2"/>
        <v>25</v>
      </c>
      <c r="AU9" s="1027"/>
      <c r="AV9" s="1028"/>
      <c r="AW9" s="1027">
        <f t="shared" si="3"/>
        <v>25</v>
      </c>
      <c r="AX9" s="1027">
        <f t="shared" si="3"/>
        <v>25</v>
      </c>
      <c r="AY9" s="1027">
        <f t="shared" si="3"/>
        <v>25</v>
      </c>
      <c r="AZ9" s="1027">
        <f t="shared" si="3"/>
        <v>25</v>
      </c>
      <c r="BA9" s="1027">
        <f t="shared" si="3"/>
        <v>25</v>
      </c>
      <c r="BB9" s="1027">
        <f t="shared" si="3"/>
        <v>25</v>
      </c>
      <c r="BC9" s="1027">
        <f t="shared" si="3"/>
        <v>25</v>
      </c>
      <c r="BD9" s="1027">
        <f t="shared" si="3"/>
        <v>25</v>
      </c>
      <c r="BE9" s="1027">
        <f t="shared" si="3"/>
        <v>25</v>
      </c>
      <c r="BF9" s="1027">
        <f t="shared" si="3"/>
        <v>25</v>
      </c>
      <c r="BG9" s="1027">
        <f t="shared" si="3"/>
        <v>25</v>
      </c>
      <c r="BH9" s="1027">
        <f t="shared" si="3"/>
        <v>25</v>
      </c>
      <c r="BI9" s="1035"/>
      <c r="BJ9" s="1027">
        <f>BH9</f>
        <v>25</v>
      </c>
      <c r="BK9" s="1027">
        <f t="shared" ref="BJ9:BU13" si="7">$AF9</f>
        <v>25</v>
      </c>
      <c r="BL9" s="1027">
        <f t="shared" si="7"/>
        <v>25</v>
      </c>
      <c r="BM9" s="1027">
        <f t="shared" si="7"/>
        <v>25</v>
      </c>
      <c r="BN9" s="1027">
        <f t="shared" si="7"/>
        <v>25</v>
      </c>
      <c r="BO9" s="1027">
        <f t="shared" si="7"/>
        <v>25</v>
      </c>
      <c r="BP9" s="1027">
        <f t="shared" si="7"/>
        <v>25</v>
      </c>
      <c r="BQ9" s="1027">
        <f t="shared" si="7"/>
        <v>25</v>
      </c>
      <c r="BR9" s="1027">
        <f t="shared" si="7"/>
        <v>25</v>
      </c>
      <c r="BS9" s="1027">
        <f t="shared" si="7"/>
        <v>25</v>
      </c>
      <c r="BT9" s="1027">
        <f t="shared" si="7"/>
        <v>25</v>
      </c>
      <c r="BU9" s="1027">
        <f t="shared" si="7"/>
        <v>25</v>
      </c>
      <c r="BV9" s="1035"/>
      <c r="BW9" s="1027">
        <f t="shared" ref="BW9:CH13" si="8">$AF9</f>
        <v>25</v>
      </c>
      <c r="BX9" s="1027">
        <f t="shared" si="8"/>
        <v>25</v>
      </c>
      <c r="BY9" s="1027">
        <f t="shared" si="8"/>
        <v>25</v>
      </c>
      <c r="BZ9" s="1027">
        <f t="shared" si="8"/>
        <v>25</v>
      </c>
      <c r="CA9" s="1027">
        <f t="shared" si="8"/>
        <v>25</v>
      </c>
      <c r="CB9" s="1027">
        <f t="shared" si="8"/>
        <v>25</v>
      </c>
      <c r="CC9" s="1027">
        <f t="shared" si="8"/>
        <v>25</v>
      </c>
      <c r="CD9" s="1027">
        <f t="shared" si="8"/>
        <v>25</v>
      </c>
      <c r="CE9" s="1027">
        <f t="shared" si="8"/>
        <v>25</v>
      </c>
      <c r="CF9" s="1027">
        <f t="shared" si="8"/>
        <v>25</v>
      </c>
      <c r="CG9" s="1027">
        <f t="shared" si="8"/>
        <v>25</v>
      </c>
      <c r="CH9" s="1027">
        <f t="shared" si="8"/>
        <v>25</v>
      </c>
      <c r="CI9" s="1035"/>
      <c r="CJ9" s="1027">
        <f t="shared" ref="CJ9:CU13" si="9">$AF9</f>
        <v>25</v>
      </c>
      <c r="CK9" s="1027">
        <f t="shared" si="9"/>
        <v>25</v>
      </c>
      <c r="CL9" s="1027">
        <f t="shared" si="9"/>
        <v>25</v>
      </c>
      <c r="CM9" s="1027">
        <f t="shared" si="9"/>
        <v>25</v>
      </c>
      <c r="CN9" s="1027">
        <f t="shared" si="9"/>
        <v>25</v>
      </c>
      <c r="CO9" s="1027">
        <f t="shared" si="9"/>
        <v>25</v>
      </c>
      <c r="CP9" s="1027">
        <f t="shared" si="9"/>
        <v>25</v>
      </c>
      <c r="CQ9" s="1027">
        <f t="shared" si="9"/>
        <v>25</v>
      </c>
      <c r="CR9" s="1027">
        <f t="shared" si="9"/>
        <v>25</v>
      </c>
      <c r="CS9" s="1027">
        <f t="shared" si="9"/>
        <v>25</v>
      </c>
      <c r="CT9" s="1027">
        <f t="shared" si="9"/>
        <v>25</v>
      </c>
      <c r="CU9" s="1027">
        <f t="shared" si="9"/>
        <v>25</v>
      </c>
      <c r="CV9" s="1035"/>
    </row>
    <row r="10" spans="1:100" ht="13" x14ac:dyDescent="0.3">
      <c r="A10" s="166" t="s">
        <v>854</v>
      </c>
      <c r="B10" s="166"/>
      <c r="C10" s="166"/>
      <c r="D10" s="166"/>
      <c r="E10" s="166"/>
      <c r="F10" s="717"/>
      <c r="G10" s="722"/>
      <c r="H10" s="722"/>
      <c r="I10" s="722"/>
      <c r="J10" s="722"/>
      <c r="K10" s="722"/>
      <c r="L10" s="722"/>
      <c r="M10" s="722">
        <v>20</v>
      </c>
      <c r="N10" s="166">
        <v>20</v>
      </c>
      <c r="O10" s="166">
        <v>25</v>
      </c>
      <c r="P10" s="166">
        <v>25</v>
      </c>
      <c r="Q10" s="166">
        <v>25</v>
      </c>
      <c r="R10" s="166">
        <v>25</v>
      </c>
      <c r="S10" s="718">
        <f t="shared" si="0"/>
        <v>140</v>
      </c>
      <c r="T10" s="719"/>
      <c r="U10" s="166">
        <v>25</v>
      </c>
      <c r="V10" s="166">
        <v>25</v>
      </c>
      <c r="W10" s="166">
        <v>25</v>
      </c>
      <c r="X10" s="166">
        <v>25</v>
      </c>
      <c r="Y10" s="166">
        <v>25</v>
      </c>
      <c r="Z10" s="166">
        <v>25</v>
      </c>
      <c r="AA10" s="166">
        <f t="shared" si="1"/>
        <v>25</v>
      </c>
      <c r="AB10" s="166">
        <f t="shared" si="1"/>
        <v>25</v>
      </c>
      <c r="AC10" s="166">
        <f t="shared" si="1"/>
        <v>25</v>
      </c>
      <c r="AD10" s="166">
        <f t="shared" si="1"/>
        <v>25</v>
      </c>
      <c r="AE10" s="166">
        <f t="shared" si="1"/>
        <v>25</v>
      </c>
      <c r="AF10" s="166">
        <f t="shared" si="1"/>
        <v>25</v>
      </c>
      <c r="AG10" s="719"/>
      <c r="AH10" s="720"/>
      <c r="AI10" s="1027">
        <f t="shared" si="2"/>
        <v>25</v>
      </c>
      <c r="AJ10" s="1027">
        <f t="shared" si="2"/>
        <v>25</v>
      </c>
      <c r="AK10" s="1027">
        <f t="shared" si="2"/>
        <v>25</v>
      </c>
      <c r="AL10" s="1027">
        <f t="shared" si="2"/>
        <v>25</v>
      </c>
      <c r="AM10" s="1027">
        <f t="shared" si="2"/>
        <v>25</v>
      </c>
      <c r="AN10" s="1027">
        <f t="shared" si="2"/>
        <v>25</v>
      </c>
      <c r="AO10" s="1027">
        <f t="shared" si="2"/>
        <v>25</v>
      </c>
      <c r="AP10" s="1027">
        <f t="shared" si="2"/>
        <v>25</v>
      </c>
      <c r="AQ10" s="1027">
        <f t="shared" si="2"/>
        <v>25</v>
      </c>
      <c r="AR10" s="1027">
        <f t="shared" si="2"/>
        <v>25</v>
      </c>
      <c r="AS10" s="1027">
        <f t="shared" si="2"/>
        <v>25</v>
      </c>
      <c r="AT10" s="1027">
        <f t="shared" si="2"/>
        <v>25</v>
      </c>
      <c r="AU10" s="1027"/>
      <c r="AV10" s="1028"/>
      <c r="AW10" s="1027">
        <f t="shared" si="3"/>
        <v>25</v>
      </c>
      <c r="AX10" s="1027">
        <f t="shared" si="3"/>
        <v>25</v>
      </c>
      <c r="AY10" s="1027">
        <f t="shared" si="3"/>
        <v>25</v>
      </c>
      <c r="AZ10" s="1027">
        <f t="shared" si="3"/>
        <v>25</v>
      </c>
      <c r="BA10" s="1027">
        <f t="shared" si="3"/>
        <v>25</v>
      </c>
      <c r="BB10" s="1027">
        <f t="shared" si="3"/>
        <v>25</v>
      </c>
      <c r="BC10" s="1027">
        <f t="shared" si="3"/>
        <v>25</v>
      </c>
      <c r="BD10" s="1027">
        <f t="shared" si="3"/>
        <v>25</v>
      </c>
      <c r="BE10" s="1027">
        <f t="shared" si="3"/>
        <v>25</v>
      </c>
      <c r="BF10" s="1027">
        <f t="shared" si="3"/>
        <v>25</v>
      </c>
      <c r="BG10" s="1027">
        <f t="shared" si="3"/>
        <v>25</v>
      </c>
      <c r="BH10" s="1027">
        <f t="shared" si="3"/>
        <v>25</v>
      </c>
      <c r="BI10" s="1035"/>
      <c r="BJ10" s="1027">
        <f t="shared" si="7"/>
        <v>25</v>
      </c>
      <c r="BK10" s="1027">
        <f t="shared" si="7"/>
        <v>25</v>
      </c>
      <c r="BL10" s="1027">
        <f t="shared" si="7"/>
        <v>25</v>
      </c>
      <c r="BM10" s="1027">
        <f t="shared" si="7"/>
        <v>25</v>
      </c>
      <c r="BN10" s="1027">
        <f t="shared" si="7"/>
        <v>25</v>
      </c>
      <c r="BO10" s="1027">
        <f t="shared" si="7"/>
        <v>25</v>
      </c>
      <c r="BP10" s="1027">
        <f t="shared" si="7"/>
        <v>25</v>
      </c>
      <c r="BQ10" s="1027">
        <f t="shared" si="7"/>
        <v>25</v>
      </c>
      <c r="BR10" s="1027">
        <f t="shared" si="7"/>
        <v>25</v>
      </c>
      <c r="BS10" s="1027">
        <f t="shared" si="7"/>
        <v>25</v>
      </c>
      <c r="BT10" s="1027">
        <f t="shared" si="7"/>
        <v>25</v>
      </c>
      <c r="BU10" s="1027">
        <f t="shared" si="7"/>
        <v>25</v>
      </c>
      <c r="BV10" s="1035"/>
      <c r="BW10" s="1027">
        <f t="shared" si="8"/>
        <v>25</v>
      </c>
      <c r="BX10" s="1027">
        <f t="shared" si="8"/>
        <v>25</v>
      </c>
      <c r="BY10" s="1027">
        <f t="shared" si="8"/>
        <v>25</v>
      </c>
      <c r="BZ10" s="1027">
        <f t="shared" si="8"/>
        <v>25</v>
      </c>
      <c r="CA10" s="1027">
        <f t="shared" si="8"/>
        <v>25</v>
      </c>
      <c r="CB10" s="1027">
        <f t="shared" si="8"/>
        <v>25</v>
      </c>
      <c r="CC10" s="1027">
        <f t="shared" si="8"/>
        <v>25</v>
      </c>
      <c r="CD10" s="1027">
        <f t="shared" si="8"/>
        <v>25</v>
      </c>
      <c r="CE10" s="1027">
        <f t="shared" si="8"/>
        <v>25</v>
      </c>
      <c r="CF10" s="1027">
        <f t="shared" si="8"/>
        <v>25</v>
      </c>
      <c r="CG10" s="1027">
        <f t="shared" si="8"/>
        <v>25</v>
      </c>
      <c r="CH10" s="1027">
        <f t="shared" si="8"/>
        <v>25</v>
      </c>
      <c r="CI10" s="1035"/>
      <c r="CJ10" s="1027">
        <f t="shared" si="9"/>
        <v>25</v>
      </c>
      <c r="CK10" s="1027">
        <f t="shared" si="9"/>
        <v>25</v>
      </c>
      <c r="CL10" s="1027">
        <f t="shared" si="9"/>
        <v>25</v>
      </c>
      <c r="CM10" s="1027">
        <f t="shared" si="9"/>
        <v>25</v>
      </c>
      <c r="CN10" s="1027">
        <f t="shared" si="9"/>
        <v>25</v>
      </c>
      <c r="CO10" s="1027">
        <f t="shared" si="9"/>
        <v>25</v>
      </c>
      <c r="CP10" s="1027">
        <f t="shared" si="9"/>
        <v>25</v>
      </c>
      <c r="CQ10" s="1027">
        <f t="shared" si="9"/>
        <v>25</v>
      </c>
      <c r="CR10" s="1027">
        <f t="shared" si="9"/>
        <v>25</v>
      </c>
      <c r="CS10" s="1027">
        <f t="shared" si="9"/>
        <v>25</v>
      </c>
      <c r="CT10" s="1027">
        <f t="shared" si="9"/>
        <v>25</v>
      </c>
      <c r="CU10" s="1027">
        <f t="shared" si="9"/>
        <v>25</v>
      </c>
      <c r="CV10" s="1035"/>
    </row>
    <row r="11" spans="1:100" ht="13" x14ac:dyDescent="0.3">
      <c r="A11" s="166" t="s">
        <v>855</v>
      </c>
      <c r="B11" s="166"/>
      <c r="C11" s="166"/>
      <c r="D11" s="166"/>
      <c r="E11" s="166"/>
      <c r="F11" s="717"/>
      <c r="G11" s="722"/>
      <c r="H11" s="722"/>
      <c r="I11" s="722"/>
      <c r="J11" s="722"/>
      <c r="K11" s="722"/>
      <c r="L11" s="722"/>
      <c r="M11" s="722"/>
      <c r="N11" s="166">
        <v>25</v>
      </c>
      <c r="O11" s="166">
        <v>25</v>
      </c>
      <c r="P11" s="166">
        <v>25</v>
      </c>
      <c r="Q11" s="166">
        <v>25</v>
      </c>
      <c r="R11" s="166">
        <v>25</v>
      </c>
      <c r="S11" s="718">
        <f t="shared" si="0"/>
        <v>125</v>
      </c>
      <c r="T11" s="719"/>
      <c r="U11" s="166">
        <v>25</v>
      </c>
      <c r="V11" s="166">
        <v>25</v>
      </c>
      <c r="W11" s="166">
        <v>25</v>
      </c>
      <c r="X11" s="166">
        <v>25</v>
      </c>
      <c r="Y11" s="166">
        <v>25</v>
      </c>
      <c r="Z11" s="166">
        <v>25</v>
      </c>
      <c r="AA11" s="166">
        <f t="shared" si="1"/>
        <v>25</v>
      </c>
      <c r="AB11" s="166">
        <f t="shared" si="1"/>
        <v>25</v>
      </c>
      <c r="AC11" s="166">
        <f t="shared" si="1"/>
        <v>25</v>
      </c>
      <c r="AD11" s="166">
        <f t="shared" si="1"/>
        <v>25</v>
      </c>
      <c r="AE11" s="166">
        <f t="shared" si="1"/>
        <v>25</v>
      </c>
      <c r="AF11" s="166">
        <f t="shared" si="1"/>
        <v>25</v>
      </c>
      <c r="AG11" s="719"/>
      <c r="AH11" s="720"/>
      <c r="AI11" s="1027">
        <f t="shared" si="2"/>
        <v>25</v>
      </c>
      <c r="AJ11" s="1027">
        <f t="shared" si="2"/>
        <v>25</v>
      </c>
      <c r="AK11" s="1027">
        <f t="shared" si="2"/>
        <v>25</v>
      </c>
      <c r="AL11" s="1027">
        <f t="shared" si="2"/>
        <v>25</v>
      </c>
      <c r="AM11" s="1027">
        <f t="shared" si="2"/>
        <v>25</v>
      </c>
      <c r="AN11" s="1027">
        <f t="shared" si="2"/>
        <v>25</v>
      </c>
      <c r="AO11" s="1027">
        <f t="shared" si="2"/>
        <v>25</v>
      </c>
      <c r="AP11" s="1027">
        <f t="shared" si="2"/>
        <v>25</v>
      </c>
      <c r="AQ11" s="1027">
        <f t="shared" si="2"/>
        <v>25</v>
      </c>
      <c r="AR11" s="1027">
        <f t="shared" si="2"/>
        <v>25</v>
      </c>
      <c r="AS11" s="1027">
        <f t="shared" si="2"/>
        <v>25</v>
      </c>
      <c r="AT11" s="1027">
        <f t="shared" si="2"/>
        <v>25</v>
      </c>
      <c r="AU11" s="1027"/>
      <c r="AV11" s="1028"/>
      <c r="AW11" s="1027">
        <f t="shared" si="3"/>
        <v>25</v>
      </c>
      <c r="AX11" s="1027">
        <f t="shared" si="3"/>
        <v>25</v>
      </c>
      <c r="AY11" s="1027">
        <f t="shared" si="3"/>
        <v>25</v>
      </c>
      <c r="AZ11" s="1027">
        <f t="shared" si="3"/>
        <v>25</v>
      </c>
      <c r="BA11" s="1027">
        <f t="shared" si="3"/>
        <v>25</v>
      </c>
      <c r="BB11" s="1027">
        <f t="shared" si="3"/>
        <v>25</v>
      </c>
      <c r="BC11" s="1027">
        <f t="shared" si="3"/>
        <v>25</v>
      </c>
      <c r="BD11" s="1027">
        <f t="shared" si="3"/>
        <v>25</v>
      </c>
      <c r="BE11" s="1027">
        <f t="shared" si="3"/>
        <v>25</v>
      </c>
      <c r="BF11" s="1027">
        <f t="shared" si="3"/>
        <v>25</v>
      </c>
      <c r="BG11" s="1027">
        <f t="shared" si="3"/>
        <v>25</v>
      </c>
      <c r="BH11" s="1027">
        <f t="shared" si="3"/>
        <v>25</v>
      </c>
      <c r="BI11" s="1035"/>
      <c r="BJ11" s="1027">
        <v>25</v>
      </c>
      <c r="BK11" s="1027">
        <v>25</v>
      </c>
      <c r="BL11" s="1027">
        <v>25</v>
      </c>
      <c r="BM11" s="1027">
        <v>25</v>
      </c>
      <c r="BN11" s="1027">
        <v>25</v>
      </c>
      <c r="BO11" s="1027">
        <v>25</v>
      </c>
      <c r="BP11" s="1027">
        <v>25</v>
      </c>
      <c r="BQ11" s="1027">
        <v>25</v>
      </c>
      <c r="BR11" s="1027">
        <v>25</v>
      </c>
      <c r="BS11" s="1027">
        <v>25</v>
      </c>
      <c r="BT11" s="1027">
        <v>25</v>
      </c>
      <c r="BU11" s="1027">
        <v>25</v>
      </c>
      <c r="BV11" s="1035"/>
      <c r="BW11" s="1027">
        <f>BU11</f>
        <v>25</v>
      </c>
      <c r="BX11" s="1027">
        <f>BW11</f>
        <v>25</v>
      </c>
      <c r="BY11" s="1027">
        <f t="shared" ref="BY11:CH11" si="10">BW11</f>
        <v>25</v>
      </c>
      <c r="BZ11" s="1027">
        <f t="shared" si="10"/>
        <v>25</v>
      </c>
      <c r="CA11" s="1027">
        <f t="shared" si="10"/>
        <v>25</v>
      </c>
      <c r="CB11" s="1027">
        <f t="shared" si="10"/>
        <v>25</v>
      </c>
      <c r="CC11" s="1027">
        <f t="shared" si="10"/>
        <v>25</v>
      </c>
      <c r="CD11" s="1027">
        <f t="shared" si="10"/>
        <v>25</v>
      </c>
      <c r="CE11" s="1027">
        <f t="shared" si="10"/>
        <v>25</v>
      </c>
      <c r="CF11" s="1027">
        <f t="shared" si="10"/>
        <v>25</v>
      </c>
      <c r="CG11" s="1027">
        <f t="shared" si="10"/>
        <v>25</v>
      </c>
      <c r="CH11" s="1027">
        <f t="shared" si="10"/>
        <v>25</v>
      </c>
      <c r="CI11" s="1035"/>
      <c r="CJ11" s="1027">
        <f>CH11</f>
        <v>25</v>
      </c>
      <c r="CK11" s="1027">
        <f>CJ11</f>
        <v>25</v>
      </c>
      <c r="CL11" s="1027">
        <f t="shared" ref="CL11:CU12" si="11">CJ11</f>
        <v>25</v>
      </c>
      <c r="CM11" s="1027">
        <f t="shared" si="11"/>
        <v>25</v>
      </c>
      <c r="CN11" s="1027">
        <f t="shared" si="11"/>
        <v>25</v>
      </c>
      <c r="CO11" s="1027">
        <f t="shared" si="11"/>
        <v>25</v>
      </c>
      <c r="CP11" s="1027">
        <f t="shared" si="11"/>
        <v>25</v>
      </c>
      <c r="CQ11" s="1027">
        <f t="shared" si="11"/>
        <v>25</v>
      </c>
      <c r="CR11" s="1027">
        <f t="shared" si="11"/>
        <v>25</v>
      </c>
      <c r="CS11" s="1027">
        <f t="shared" si="11"/>
        <v>25</v>
      </c>
      <c r="CT11" s="1027">
        <f t="shared" si="11"/>
        <v>25</v>
      </c>
      <c r="CU11" s="1027">
        <f t="shared" si="11"/>
        <v>25</v>
      </c>
      <c r="CV11" s="1035"/>
    </row>
    <row r="12" spans="1:100" ht="13" x14ac:dyDescent="0.3">
      <c r="A12" s="166" t="s">
        <v>856</v>
      </c>
      <c r="B12" s="166"/>
      <c r="C12" s="166"/>
      <c r="D12" s="166"/>
      <c r="E12" s="166"/>
      <c r="F12" s="717"/>
      <c r="G12" s="722"/>
      <c r="H12" s="722"/>
      <c r="I12" s="722"/>
      <c r="J12" s="722"/>
      <c r="K12" s="722"/>
      <c r="L12" s="722"/>
      <c r="M12" s="722"/>
      <c r="N12" s="166"/>
      <c r="O12" s="166"/>
      <c r="P12" s="166"/>
      <c r="Q12" s="166"/>
      <c r="R12" s="166"/>
      <c r="S12" s="718">
        <f t="shared" si="0"/>
        <v>0</v>
      </c>
      <c r="T12" s="719"/>
      <c r="U12" s="166"/>
      <c r="V12" s="166"/>
      <c r="W12" s="166"/>
      <c r="X12" s="166"/>
      <c r="Y12" s="166"/>
      <c r="Z12" s="166"/>
      <c r="AA12" s="166"/>
      <c r="AB12" s="166"/>
      <c r="AC12" s="166">
        <v>25</v>
      </c>
      <c r="AD12" s="166">
        <f t="shared" ref="AD12:AF13" si="12">AC12</f>
        <v>25</v>
      </c>
      <c r="AE12" s="166">
        <f t="shared" si="12"/>
        <v>25</v>
      </c>
      <c r="AF12" s="166">
        <f t="shared" si="12"/>
        <v>25</v>
      </c>
      <c r="AG12" s="719"/>
      <c r="AH12" s="720"/>
      <c r="AI12" s="1027">
        <f t="shared" si="2"/>
        <v>25</v>
      </c>
      <c r="AJ12" s="1027">
        <f t="shared" si="2"/>
        <v>25</v>
      </c>
      <c r="AK12" s="1027">
        <f t="shared" si="2"/>
        <v>25</v>
      </c>
      <c r="AL12" s="1027">
        <f t="shared" si="2"/>
        <v>25</v>
      </c>
      <c r="AM12" s="1027">
        <f t="shared" si="2"/>
        <v>25</v>
      </c>
      <c r="AN12" s="1027">
        <f t="shared" si="2"/>
        <v>25</v>
      </c>
      <c r="AO12" s="1027">
        <f t="shared" si="2"/>
        <v>25</v>
      </c>
      <c r="AP12" s="1027">
        <f t="shared" si="2"/>
        <v>25</v>
      </c>
      <c r="AQ12" s="1027">
        <f t="shared" si="2"/>
        <v>25</v>
      </c>
      <c r="AR12" s="1027">
        <f t="shared" si="2"/>
        <v>25</v>
      </c>
      <c r="AS12" s="1027">
        <f t="shared" si="2"/>
        <v>25</v>
      </c>
      <c r="AT12" s="1027">
        <f t="shared" si="2"/>
        <v>25</v>
      </c>
      <c r="AU12" s="1027"/>
      <c r="AV12" s="1028"/>
      <c r="AW12" s="1027">
        <v>25</v>
      </c>
      <c r="AX12" s="1027">
        <v>25</v>
      </c>
      <c r="AY12" s="1027">
        <v>25</v>
      </c>
      <c r="AZ12" s="1027">
        <v>25</v>
      </c>
      <c r="BA12" s="1027">
        <v>25</v>
      </c>
      <c r="BB12" s="1027">
        <v>25</v>
      </c>
      <c r="BC12" s="1027">
        <v>30</v>
      </c>
      <c r="BD12" s="1027">
        <v>30</v>
      </c>
      <c r="BE12" s="1027">
        <v>30</v>
      </c>
      <c r="BF12" s="1027">
        <v>30</v>
      </c>
      <c r="BG12" s="1027">
        <v>30</v>
      </c>
      <c r="BH12" s="1027">
        <v>30</v>
      </c>
      <c r="BI12" s="1035"/>
      <c r="BJ12" s="1027">
        <f>BH12</f>
        <v>30</v>
      </c>
      <c r="BK12" s="1027">
        <v>30</v>
      </c>
      <c r="BL12" s="1027">
        <f t="shared" ref="BL12:BU12" si="13">BJ12</f>
        <v>30</v>
      </c>
      <c r="BM12" s="1027">
        <f t="shared" si="13"/>
        <v>30</v>
      </c>
      <c r="BN12" s="1027">
        <f t="shared" si="13"/>
        <v>30</v>
      </c>
      <c r="BO12" s="1027">
        <f t="shared" si="13"/>
        <v>30</v>
      </c>
      <c r="BP12" s="1027">
        <f t="shared" si="13"/>
        <v>30</v>
      </c>
      <c r="BQ12" s="1027">
        <f t="shared" si="13"/>
        <v>30</v>
      </c>
      <c r="BR12" s="1027">
        <f t="shared" si="13"/>
        <v>30</v>
      </c>
      <c r="BS12" s="1027">
        <f t="shared" si="13"/>
        <v>30</v>
      </c>
      <c r="BT12" s="1027">
        <f t="shared" si="13"/>
        <v>30</v>
      </c>
      <c r="BU12" s="1027">
        <f t="shared" si="13"/>
        <v>30</v>
      </c>
      <c r="BV12" s="1035"/>
      <c r="BW12" s="1027">
        <v>30</v>
      </c>
      <c r="BX12" s="1027">
        <v>30</v>
      </c>
      <c r="BY12" s="1027">
        <v>30</v>
      </c>
      <c r="BZ12" s="1027">
        <v>30</v>
      </c>
      <c r="CA12" s="1027">
        <v>30</v>
      </c>
      <c r="CB12" s="1027">
        <v>30</v>
      </c>
      <c r="CC12" s="1027">
        <v>30</v>
      </c>
      <c r="CD12" s="1027">
        <v>30</v>
      </c>
      <c r="CE12" s="1027">
        <v>30</v>
      </c>
      <c r="CF12" s="1027">
        <v>30</v>
      </c>
      <c r="CG12" s="1027">
        <v>30</v>
      </c>
      <c r="CH12" s="1027">
        <v>30</v>
      </c>
      <c r="CI12" s="1035"/>
      <c r="CJ12" s="1027">
        <v>30</v>
      </c>
      <c r="CK12" s="1027">
        <f>CJ12</f>
        <v>30</v>
      </c>
      <c r="CL12" s="1027">
        <f t="shared" si="11"/>
        <v>30</v>
      </c>
      <c r="CM12" s="1027">
        <f t="shared" si="11"/>
        <v>30</v>
      </c>
      <c r="CN12" s="1027">
        <f t="shared" si="11"/>
        <v>30</v>
      </c>
      <c r="CO12" s="1027">
        <f t="shared" si="11"/>
        <v>30</v>
      </c>
      <c r="CP12" s="1027">
        <f t="shared" si="11"/>
        <v>30</v>
      </c>
      <c r="CQ12" s="1027">
        <f t="shared" si="11"/>
        <v>30</v>
      </c>
      <c r="CR12" s="1027">
        <f t="shared" si="11"/>
        <v>30</v>
      </c>
      <c r="CS12" s="1027">
        <f t="shared" si="11"/>
        <v>30</v>
      </c>
      <c r="CT12" s="1027">
        <f t="shared" si="11"/>
        <v>30</v>
      </c>
      <c r="CU12" s="1027">
        <f t="shared" si="11"/>
        <v>30</v>
      </c>
      <c r="CV12" s="1035"/>
    </row>
    <row r="13" spans="1:100" ht="13" x14ac:dyDescent="0.3">
      <c r="A13" s="166" t="s">
        <v>745</v>
      </c>
      <c r="B13" s="166"/>
      <c r="C13" s="166"/>
      <c r="D13" s="166"/>
      <c r="E13" s="166"/>
      <c r="F13" s="717"/>
      <c r="G13" s="722"/>
      <c r="H13" s="722"/>
      <c r="I13" s="722"/>
      <c r="J13" s="722"/>
      <c r="K13" s="722"/>
      <c r="L13" s="722"/>
      <c r="M13" s="722"/>
      <c r="N13" s="166"/>
      <c r="O13" s="166"/>
      <c r="P13" s="166"/>
      <c r="Q13" s="166"/>
      <c r="R13" s="166"/>
      <c r="S13" s="718">
        <f t="shared" si="0"/>
        <v>0</v>
      </c>
      <c r="T13" s="719"/>
      <c r="U13" s="166"/>
      <c r="V13" s="166"/>
      <c r="W13" s="166"/>
      <c r="X13" s="166"/>
      <c r="Y13" s="166"/>
      <c r="Z13" s="166"/>
      <c r="AA13" s="166"/>
      <c r="AB13" s="166">
        <v>20</v>
      </c>
      <c r="AC13" s="166">
        <f>AB13</f>
        <v>20</v>
      </c>
      <c r="AD13" s="166">
        <f t="shared" si="12"/>
        <v>20</v>
      </c>
      <c r="AE13" s="166">
        <f t="shared" si="12"/>
        <v>20</v>
      </c>
      <c r="AF13" s="166">
        <f t="shared" si="12"/>
        <v>20</v>
      </c>
      <c r="AG13" s="719"/>
      <c r="AH13" s="720"/>
      <c r="AI13" s="1027">
        <f t="shared" si="2"/>
        <v>20</v>
      </c>
      <c r="AJ13" s="1027">
        <f t="shared" si="2"/>
        <v>20</v>
      </c>
      <c r="AK13" s="1027">
        <f t="shared" si="2"/>
        <v>20</v>
      </c>
      <c r="AL13" s="1027">
        <f t="shared" si="2"/>
        <v>20</v>
      </c>
      <c r="AM13" s="1027">
        <f t="shared" si="2"/>
        <v>20</v>
      </c>
      <c r="AN13" s="1027">
        <f t="shared" si="2"/>
        <v>20</v>
      </c>
      <c r="AO13" s="1027">
        <f t="shared" si="2"/>
        <v>20</v>
      </c>
      <c r="AP13" s="1027">
        <f t="shared" si="2"/>
        <v>20</v>
      </c>
      <c r="AQ13" s="1027">
        <f t="shared" si="2"/>
        <v>20</v>
      </c>
      <c r="AR13" s="1027">
        <f t="shared" si="2"/>
        <v>20</v>
      </c>
      <c r="AS13" s="1027">
        <f t="shared" si="2"/>
        <v>20</v>
      </c>
      <c r="AT13" s="1027">
        <f t="shared" si="2"/>
        <v>20</v>
      </c>
      <c r="AU13" s="1027"/>
      <c r="AV13" s="1028"/>
      <c r="AW13" s="1027">
        <f t="shared" si="3"/>
        <v>20</v>
      </c>
      <c r="AX13" s="1027">
        <f t="shared" si="3"/>
        <v>20</v>
      </c>
      <c r="AY13" s="1027">
        <f t="shared" si="3"/>
        <v>20</v>
      </c>
      <c r="AZ13" s="1027">
        <f t="shared" si="3"/>
        <v>20</v>
      </c>
      <c r="BA13" s="1027">
        <f t="shared" si="3"/>
        <v>20</v>
      </c>
      <c r="BB13" s="1027">
        <f t="shared" si="3"/>
        <v>20</v>
      </c>
      <c r="BC13" s="1027">
        <f t="shared" si="3"/>
        <v>20</v>
      </c>
      <c r="BD13" s="1027">
        <f t="shared" si="3"/>
        <v>20</v>
      </c>
      <c r="BE13" s="1027">
        <f t="shared" si="3"/>
        <v>20</v>
      </c>
      <c r="BF13" s="1027">
        <f t="shared" si="3"/>
        <v>20</v>
      </c>
      <c r="BG13" s="1027">
        <f t="shared" si="3"/>
        <v>20</v>
      </c>
      <c r="BH13" s="1027">
        <f t="shared" si="3"/>
        <v>20</v>
      </c>
      <c r="BI13" s="1035"/>
      <c r="BJ13" s="1027">
        <f t="shared" si="7"/>
        <v>20</v>
      </c>
      <c r="BK13" s="1027">
        <f t="shared" si="7"/>
        <v>20</v>
      </c>
      <c r="BL13" s="1027">
        <f t="shared" si="7"/>
        <v>20</v>
      </c>
      <c r="BM13" s="1027">
        <f t="shared" si="7"/>
        <v>20</v>
      </c>
      <c r="BN13" s="1027">
        <f t="shared" si="7"/>
        <v>20</v>
      </c>
      <c r="BO13" s="1027">
        <f t="shared" si="7"/>
        <v>20</v>
      </c>
      <c r="BP13" s="1027">
        <f t="shared" si="7"/>
        <v>20</v>
      </c>
      <c r="BQ13" s="1027">
        <f t="shared" si="7"/>
        <v>20</v>
      </c>
      <c r="BR13" s="1027">
        <f t="shared" si="7"/>
        <v>20</v>
      </c>
      <c r="BS13" s="1027">
        <f t="shared" si="7"/>
        <v>20</v>
      </c>
      <c r="BT13" s="1027">
        <f t="shared" si="7"/>
        <v>20</v>
      </c>
      <c r="BU13" s="1027">
        <f t="shared" si="7"/>
        <v>20</v>
      </c>
      <c r="BV13" s="1035"/>
      <c r="BW13" s="1027">
        <f t="shared" si="8"/>
        <v>20</v>
      </c>
      <c r="BX13" s="1027">
        <f t="shared" si="8"/>
        <v>20</v>
      </c>
      <c r="BY13" s="1027">
        <f t="shared" si="8"/>
        <v>20</v>
      </c>
      <c r="BZ13" s="1027">
        <f t="shared" si="8"/>
        <v>20</v>
      </c>
      <c r="CA13" s="1027">
        <f t="shared" si="8"/>
        <v>20</v>
      </c>
      <c r="CB13" s="1027">
        <f t="shared" si="8"/>
        <v>20</v>
      </c>
      <c r="CC13" s="1027">
        <f t="shared" si="8"/>
        <v>20</v>
      </c>
      <c r="CD13" s="1027">
        <f t="shared" si="8"/>
        <v>20</v>
      </c>
      <c r="CE13" s="1027">
        <f t="shared" si="8"/>
        <v>20</v>
      </c>
      <c r="CF13" s="1027">
        <f t="shared" si="8"/>
        <v>20</v>
      </c>
      <c r="CG13" s="1027">
        <f t="shared" si="8"/>
        <v>20</v>
      </c>
      <c r="CH13" s="1027">
        <f t="shared" si="8"/>
        <v>20</v>
      </c>
      <c r="CI13" s="1035"/>
      <c r="CJ13" s="1027">
        <f t="shared" si="9"/>
        <v>20</v>
      </c>
      <c r="CK13" s="1027">
        <f t="shared" si="9"/>
        <v>20</v>
      </c>
      <c r="CL13" s="1027">
        <f t="shared" si="9"/>
        <v>20</v>
      </c>
      <c r="CM13" s="1027">
        <f t="shared" si="9"/>
        <v>20</v>
      </c>
      <c r="CN13" s="1027">
        <f t="shared" si="9"/>
        <v>20</v>
      </c>
      <c r="CO13" s="1027">
        <f t="shared" si="9"/>
        <v>20</v>
      </c>
      <c r="CP13" s="1027">
        <f t="shared" si="9"/>
        <v>20</v>
      </c>
      <c r="CQ13" s="1027">
        <f t="shared" si="9"/>
        <v>20</v>
      </c>
      <c r="CR13" s="1027">
        <f t="shared" si="9"/>
        <v>20</v>
      </c>
      <c r="CS13" s="1027">
        <f t="shared" si="9"/>
        <v>20</v>
      </c>
      <c r="CT13" s="1027">
        <f t="shared" si="9"/>
        <v>20</v>
      </c>
      <c r="CU13" s="1027">
        <f t="shared" si="9"/>
        <v>20</v>
      </c>
      <c r="CV13" s="1035"/>
    </row>
    <row r="14" spans="1:100" ht="13" x14ac:dyDescent="0.3">
      <c r="A14" s="166" t="s">
        <v>857</v>
      </c>
      <c r="B14" s="166"/>
      <c r="C14" s="166"/>
      <c r="D14" s="166"/>
      <c r="E14" s="166"/>
      <c r="F14" s="717"/>
      <c r="G14" s="722"/>
      <c r="H14" s="722"/>
      <c r="I14" s="722"/>
      <c r="J14" s="722"/>
      <c r="K14" s="722"/>
      <c r="L14" s="722"/>
      <c r="M14" s="722"/>
      <c r="N14" s="166"/>
      <c r="O14" s="166"/>
      <c r="P14" s="166"/>
      <c r="Q14" s="166"/>
      <c r="R14" s="166"/>
      <c r="S14" s="718"/>
      <c r="T14" s="719"/>
      <c r="U14" s="166"/>
      <c r="V14" s="166"/>
      <c r="W14" s="166"/>
      <c r="X14" s="166"/>
      <c r="Y14" s="166"/>
      <c r="Z14" s="166"/>
      <c r="AA14" s="166"/>
      <c r="AB14" s="166"/>
      <c r="AC14" s="166">
        <v>20</v>
      </c>
      <c r="AD14" s="166">
        <v>20</v>
      </c>
      <c r="AE14" s="166">
        <v>20</v>
      </c>
      <c r="AF14" s="166"/>
      <c r="AG14" s="719"/>
      <c r="AH14" s="720"/>
      <c r="AI14" s="1029"/>
      <c r="AJ14" s="1029"/>
      <c r="AK14" s="1029"/>
      <c r="AL14" s="1029"/>
      <c r="AM14" s="1029"/>
      <c r="AN14" s="1029"/>
      <c r="AO14" s="1029"/>
      <c r="AP14" s="1029"/>
      <c r="AQ14" s="1029"/>
      <c r="AR14" s="1029"/>
      <c r="AS14" s="1029"/>
      <c r="AT14" s="1029"/>
      <c r="AU14" s="1029"/>
      <c r="AV14" s="1028"/>
      <c r="AW14" s="1029"/>
      <c r="AX14" s="1029"/>
      <c r="AY14" s="1029"/>
      <c r="AZ14" s="1029"/>
      <c r="BA14" s="1029"/>
      <c r="BB14" s="1029"/>
      <c r="BC14" s="1029"/>
      <c r="BD14" s="1029"/>
      <c r="BE14" s="1029"/>
      <c r="BF14" s="1029"/>
      <c r="BG14" s="1029"/>
      <c r="BH14" s="1029"/>
      <c r="BI14" s="1035"/>
      <c r="BJ14" s="1029"/>
      <c r="BK14" s="1029"/>
      <c r="BL14" s="1029"/>
      <c r="BM14" s="1029"/>
      <c r="BN14" s="1029"/>
      <c r="BO14" s="1029"/>
      <c r="BP14" s="1029"/>
      <c r="BQ14" s="1029"/>
      <c r="BR14" s="1029"/>
      <c r="BS14" s="1029"/>
      <c r="BT14" s="1029"/>
      <c r="BU14" s="1029"/>
      <c r="BV14" s="1037"/>
      <c r="BW14" s="1029"/>
      <c r="BX14" s="1029"/>
      <c r="BY14" s="1029"/>
      <c r="BZ14" s="1029"/>
      <c r="CA14" s="1029"/>
      <c r="CB14" s="1029"/>
      <c r="CC14" s="1029"/>
      <c r="CD14" s="1029"/>
      <c r="CE14" s="1029"/>
      <c r="CF14" s="1029"/>
      <c r="CG14" s="1029"/>
      <c r="CH14" s="1029"/>
      <c r="CI14" s="1037"/>
      <c r="CJ14" s="1029"/>
      <c r="CK14" s="1029"/>
      <c r="CL14" s="1029"/>
      <c r="CM14" s="1029"/>
      <c r="CN14" s="1029"/>
      <c r="CO14" s="1029"/>
      <c r="CP14" s="1029"/>
      <c r="CQ14" s="1029"/>
      <c r="CR14" s="1029"/>
      <c r="CS14" s="1029"/>
      <c r="CT14" s="1029"/>
      <c r="CU14" s="1029"/>
      <c r="CV14" s="1037"/>
    </row>
    <row r="15" spans="1:100" ht="13" x14ac:dyDescent="0.3">
      <c r="A15" s="724" t="s">
        <v>746</v>
      </c>
      <c r="B15" s="724"/>
      <c r="C15" s="724"/>
      <c r="D15" s="724"/>
      <c r="E15" s="724"/>
      <c r="F15" s="725"/>
      <c r="G15" s="724">
        <f t="shared" ref="G15:R15" si="14">SUM(G8:G13)</f>
        <v>25</v>
      </c>
      <c r="H15" s="724">
        <f t="shared" si="14"/>
        <v>25</v>
      </c>
      <c r="I15" s="724">
        <f t="shared" si="14"/>
        <v>25</v>
      </c>
      <c r="J15" s="724">
        <f t="shared" si="14"/>
        <v>50</v>
      </c>
      <c r="K15" s="724">
        <f t="shared" si="14"/>
        <v>50</v>
      </c>
      <c r="L15" s="724">
        <f t="shared" si="14"/>
        <v>50</v>
      </c>
      <c r="M15" s="724">
        <f t="shared" si="14"/>
        <v>70</v>
      </c>
      <c r="N15" s="724">
        <f t="shared" si="14"/>
        <v>95</v>
      </c>
      <c r="O15" s="724">
        <f t="shared" si="14"/>
        <v>75</v>
      </c>
      <c r="P15" s="724">
        <f t="shared" si="14"/>
        <v>75</v>
      </c>
      <c r="Q15" s="724">
        <f t="shared" si="14"/>
        <v>75</v>
      </c>
      <c r="R15" s="724">
        <f t="shared" si="14"/>
        <v>75</v>
      </c>
      <c r="S15" s="726">
        <f>SUM(G15:R15)</f>
        <v>690</v>
      </c>
      <c r="T15" s="727"/>
      <c r="U15" s="728">
        <f t="shared" ref="U15:AF15" si="15">SUM(U8:U14)</f>
        <v>81</v>
      </c>
      <c r="V15" s="728">
        <f t="shared" si="15"/>
        <v>81</v>
      </c>
      <c r="W15" s="728">
        <f t="shared" si="15"/>
        <v>81</v>
      </c>
      <c r="X15" s="728">
        <f t="shared" si="15"/>
        <v>81</v>
      </c>
      <c r="Y15" s="728">
        <f t="shared" si="15"/>
        <v>81</v>
      </c>
      <c r="Z15" s="728">
        <f t="shared" si="15"/>
        <v>100</v>
      </c>
      <c r="AA15" s="728">
        <f t="shared" si="15"/>
        <v>100</v>
      </c>
      <c r="AB15" s="728">
        <f t="shared" si="15"/>
        <v>120</v>
      </c>
      <c r="AC15" s="728">
        <f t="shared" si="15"/>
        <v>165</v>
      </c>
      <c r="AD15" s="728">
        <f t="shared" si="15"/>
        <v>165</v>
      </c>
      <c r="AE15" s="728">
        <f t="shared" si="15"/>
        <v>165</v>
      </c>
      <c r="AF15" s="728">
        <f t="shared" si="15"/>
        <v>145</v>
      </c>
      <c r="AG15" s="727"/>
      <c r="AH15" s="729"/>
      <c r="AI15" s="1030">
        <f t="shared" ref="AI15:AT15" si="16">SUM(AI8:AI14)</f>
        <v>145</v>
      </c>
      <c r="AJ15" s="1030">
        <f t="shared" si="16"/>
        <v>145</v>
      </c>
      <c r="AK15" s="1030">
        <f t="shared" si="16"/>
        <v>145</v>
      </c>
      <c r="AL15" s="1030">
        <f t="shared" si="16"/>
        <v>145</v>
      </c>
      <c r="AM15" s="1030">
        <f t="shared" si="16"/>
        <v>145</v>
      </c>
      <c r="AN15" s="1030">
        <f t="shared" si="16"/>
        <v>145</v>
      </c>
      <c r="AO15" s="1030">
        <f t="shared" si="16"/>
        <v>145</v>
      </c>
      <c r="AP15" s="1030">
        <f t="shared" si="16"/>
        <v>145</v>
      </c>
      <c r="AQ15" s="1030">
        <f t="shared" si="16"/>
        <v>145</v>
      </c>
      <c r="AR15" s="1030">
        <f t="shared" si="16"/>
        <v>145</v>
      </c>
      <c r="AS15" s="1030">
        <f t="shared" si="16"/>
        <v>145</v>
      </c>
      <c r="AT15" s="1030">
        <f t="shared" si="16"/>
        <v>145</v>
      </c>
      <c r="AU15" s="1030"/>
      <c r="AV15" s="1031"/>
      <c r="AW15" s="1030">
        <f t="shared" ref="AW15:BH15" si="17">SUM(AW8:AW14)</f>
        <v>145</v>
      </c>
      <c r="AX15" s="1030">
        <f t="shared" si="17"/>
        <v>145</v>
      </c>
      <c r="AY15" s="1030">
        <f t="shared" si="17"/>
        <v>145</v>
      </c>
      <c r="AZ15" s="1030">
        <f t="shared" si="17"/>
        <v>145</v>
      </c>
      <c r="BA15" s="1030">
        <f t="shared" si="17"/>
        <v>145</v>
      </c>
      <c r="BB15" s="1030">
        <f t="shared" si="17"/>
        <v>145</v>
      </c>
      <c r="BC15" s="1030">
        <f t="shared" si="17"/>
        <v>150</v>
      </c>
      <c r="BD15" s="1030">
        <f t="shared" si="17"/>
        <v>150</v>
      </c>
      <c r="BE15" s="1030">
        <f t="shared" si="17"/>
        <v>150</v>
      </c>
      <c r="BF15" s="1030">
        <f t="shared" si="17"/>
        <v>150</v>
      </c>
      <c r="BG15" s="1030">
        <f t="shared" si="17"/>
        <v>150</v>
      </c>
      <c r="BH15" s="1030">
        <f t="shared" si="17"/>
        <v>150</v>
      </c>
      <c r="BI15" s="1036"/>
      <c r="BJ15" s="1030">
        <f t="shared" ref="BJ15:BU15" si="18">SUM(BJ8:BJ14)</f>
        <v>150</v>
      </c>
      <c r="BK15" s="1030">
        <f t="shared" si="18"/>
        <v>150</v>
      </c>
      <c r="BL15" s="1030">
        <f t="shared" si="18"/>
        <v>150</v>
      </c>
      <c r="BM15" s="1030">
        <f t="shared" si="18"/>
        <v>150</v>
      </c>
      <c r="BN15" s="1030">
        <f t="shared" si="18"/>
        <v>150</v>
      </c>
      <c r="BO15" s="1030">
        <f t="shared" si="18"/>
        <v>150</v>
      </c>
      <c r="BP15" s="1030">
        <f t="shared" si="18"/>
        <v>150</v>
      </c>
      <c r="BQ15" s="1030">
        <f t="shared" si="18"/>
        <v>150</v>
      </c>
      <c r="BR15" s="1030">
        <f t="shared" si="18"/>
        <v>150</v>
      </c>
      <c r="BS15" s="1030">
        <f t="shared" si="18"/>
        <v>150</v>
      </c>
      <c r="BT15" s="1030">
        <f t="shared" si="18"/>
        <v>150</v>
      </c>
      <c r="BU15" s="1030">
        <f t="shared" si="18"/>
        <v>150</v>
      </c>
      <c r="BV15" s="1036"/>
      <c r="BW15" s="1030">
        <f t="shared" ref="BW15:CH15" si="19">SUM(BW8:BW14)</f>
        <v>155</v>
      </c>
      <c r="BX15" s="1030">
        <f t="shared" si="19"/>
        <v>155</v>
      </c>
      <c r="BY15" s="1030">
        <f t="shared" si="19"/>
        <v>155</v>
      </c>
      <c r="BZ15" s="1030">
        <f t="shared" si="19"/>
        <v>155</v>
      </c>
      <c r="CA15" s="1030">
        <f t="shared" si="19"/>
        <v>155</v>
      </c>
      <c r="CB15" s="1030">
        <f t="shared" si="19"/>
        <v>155</v>
      </c>
      <c r="CC15" s="1030">
        <f t="shared" si="19"/>
        <v>155</v>
      </c>
      <c r="CD15" s="1030">
        <f t="shared" si="19"/>
        <v>155</v>
      </c>
      <c r="CE15" s="1030">
        <f t="shared" si="19"/>
        <v>155</v>
      </c>
      <c r="CF15" s="1030">
        <f t="shared" si="19"/>
        <v>155</v>
      </c>
      <c r="CG15" s="1030">
        <f t="shared" si="19"/>
        <v>155</v>
      </c>
      <c r="CH15" s="1030">
        <f t="shared" si="19"/>
        <v>155</v>
      </c>
      <c r="CI15" s="1036"/>
      <c r="CJ15" s="1030">
        <f t="shared" ref="CJ15:CU15" si="20">SUM(CJ8:CJ14)</f>
        <v>155</v>
      </c>
      <c r="CK15" s="1030">
        <f t="shared" si="20"/>
        <v>155</v>
      </c>
      <c r="CL15" s="1030">
        <f t="shared" si="20"/>
        <v>155</v>
      </c>
      <c r="CM15" s="1030">
        <f t="shared" si="20"/>
        <v>155</v>
      </c>
      <c r="CN15" s="1030">
        <f t="shared" si="20"/>
        <v>155</v>
      </c>
      <c r="CO15" s="1030">
        <f t="shared" si="20"/>
        <v>155</v>
      </c>
      <c r="CP15" s="1030">
        <f t="shared" si="20"/>
        <v>155</v>
      </c>
      <c r="CQ15" s="1030">
        <f t="shared" si="20"/>
        <v>155</v>
      </c>
      <c r="CR15" s="1030">
        <f t="shared" si="20"/>
        <v>155</v>
      </c>
      <c r="CS15" s="1030">
        <f t="shared" si="20"/>
        <v>155</v>
      </c>
      <c r="CT15" s="1030">
        <f t="shared" si="20"/>
        <v>155</v>
      </c>
      <c r="CU15" s="1030">
        <f t="shared" si="20"/>
        <v>155</v>
      </c>
      <c r="CV15" s="1036"/>
    </row>
    <row r="16" spans="1:100" ht="13" x14ac:dyDescent="0.3">
      <c r="F16" s="717"/>
      <c r="S16" s="718"/>
      <c r="T16" s="719"/>
      <c r="AG16" s="719"/>
      <c r="AH16" s="720"/>
      <c r="AI16" s="1029"/>
      <c r="AJ16" s="1029"/>
      <c r="AK16" s="1029"/>
      <c r="AL16" s="1029"/>
      <c r="AM16" s="1029"/>
      <c r="AN16" s="1029"/>
      <c r="AO16" s="1029"/>
      <c r="AP16" s="1029"/>
      <c r="AQ16" s="1029"/>
      <c r="AR16" s="1029"/>
      <c r="AS16" s="1029"/>
      <c r="AT16" s="1029"/>
      <c r="AU16" s="1029"/>
      <c r="AV16" s="1028"/>
      <c r="AW16" s="1029"/>
      <c r="AX16" s="1029"/>
      <c r="AY16" s="1029"/>
      <c r="AZ16" s="1029"/>
      <c r="BA16" s="1029"/>
      <c r="BB16" s="1029"/>
      <c r="BC16" s="1029"/>
      <c r="BD16" s="1029"/>
      <c r="BE16" s="1029"/>
      <c r="BF16" s="1029"/>
      <c r="BG16" s="1029"/>
      <c r="BH16" s="1029"/>
      <c r="BI16" s="1037"/>
      <c r="BJ16" s="1029"/>
      <c r="BK16" s="1029"/>
      <c r="BL16" s="1029"/>
      <c r="BM16" s="1029"/>
      <c r="BN16" s="1029"/>
      <c r="BO16" s="1029"/>
      <c r="BP16" s="1029"/>
      <c r="BQ16" s="1029"/>
      <c r="BR16" s="1029"/>
      <c r="BS16" s="1029"/>
      <c r="BT16" s="1029"/>
      <c r="BU16" s="1029"/>
      <c r="BV16" s="1037"/>
      <c r="BW16" s="1029"/>
      <c r="BX16" s="1029"/>
      <c r="BY16" s="1029"/>
      <c r="BZ16" s="1029"/>
      <c r="CA16" s="1029"/>
      <c r="CB16" s="1029"/>
      <c r="CC16" s="1029"/>
      <c r="CD16" s="1029"/>
      <c r="CE16" s="1029"/>
      <c r="CF16" s="1029"/>
      <c r="CG16" s="1029"/>
      <c r="CH16" s="1029"/>
      <c r="CI16" s="1037"/>
      <c r="CJ16" s="1029"/>
      <c r="CK16" s="1029"/>
      <c r="CL16" s="1029"/>
      <c r="CM16" s="1029"/>
      <c r="CN16" s="1029"/>
      <c r="CO16" s="1029"/>
      <c r="CP16" s="1029"/>
      <c r="CQ16" s="1029"/>
      <c r="CR16" s="1029"/>
      <c r="CS16" s="1029"/>
      <c r="CT16" s="1029"/>
      <c r="CU16" s="1029"/>
      <c r="CV16" s="1037"/>
    </row>
    <row r="17" spans="1:101" ht="13" x14ac:dyDescent="0.3">
      <c r="A17" s="730" t="s">
        <v>747</v>
      </c>
      <c r="B17" s="730"/>
      <c r="C17" s="730">
        <v>38.5</v>
      </c>
      <c r="D17" s="730"/>
      <c r="E17" s="730"/>
      <c r="F17" s="731"/>
      <c r="G17" s="732">
        <f t="shared" ref="G17:L17" si="21">G15/$C17</f>
        <v>0.64935064935064934</v>
      </c>
      <c r="H17" s="732">
        <f t="shared" si="21"/>
        <v>0.64935064935064934</v>
      </c>
      <c r="I17" s="732">
        <f t="shared" si="21"/>
        <v>0.64935064935064934</v>
      </c>
      <c r="J17" s="732">
        <f t="shared" si="21"/>
        <v>1.2987012987012987</v>
      </c>
      <c r="K17" s="732">
        <f t="shared" si="21"/>
        <v>1.2987012987012987</v>
      </c>
      <c r="L17" s="732">
        <f t="shared" si="21"/>
        <v>1.2987012987012987</v>
      </c>
      <c r="M17" s="732"/>
      <c r="N17" s="732"/>
      <c r="O17" s="732"/>
      <c r="P17" s="732"/>
      <c r="Q17" s="732"/>
      <c r="R17" s="732"/>
      <c r="S17" s="733">
        <f>AVERAGE(G17:R17)</f>
        <v>0.97402597402597391</v>
      </c>
      <c r="T17" s="734"/>
      <c r="U17" s="732">
        <f t="shared" ref="U17:AF17" si="22">U15/$C17</f>
        <v>2.1038961038961039</v>
      </c>
      <c r="V17" s="732">
        <f t="shared" si="22"/>
        <v>2.1038961038961039</v>
      </c>
      <c r="W17" s="732">
        <f t="shared" si="22"/>
        <v>2.1038961038961039</v>
      </c>
      <c r="X17" s="732">
        <f t="shared" si="22"/>
        <v>2.1038961038961039</v>
      </c>
      <c r="Y17" s="732">
        <f t="shared" si="22"/>
        <v>2.1038961038961039</v>
      </c>
      <c r="Z17" s="732">
        <f t="shared" si="22"/>
        <v>2.5974025974025974</v>
      </c>
      <c r="AA17" s="732">
        <f t="shared" si="22"/>
        <v>2.5974025974025974</v>
      </c>
      <c r="AB17" s="732">
        <f t="shared" si="22"/>
        <v>3.116883116883117</v>
      </c>
      <c r="AC17" s="732">
        <f t="shared" si="22"/>
        <v>4.2857142857142856</v>
      </c>
      <c r="AD17" s="732">
        <f t="shared" si="22"/>
        <v>4.2857142857142856</v>
      </c>
      <c r="AE17" s="732">
        <f t="shared" si="22"/>
        <v>4.2857142857142856</v>
      </c>
      <c r="AF17" s="732">
        <f t="shared" si="22"/>
        <v>3.7662337662337664</v>
      </c>
      <c r="AG17" s="734"/>
      <c r="AH17" s="729"/>
      <c r="AI17" s="1032">
        <f t="shared" ref="AI17:AT17" si="23">AI15/$C17</f>
        <v>3.7662337662337664</v>
      </c>
      <c r="AJ17" s="1032">
        <f t="shared" si="23"/>
        <v>3.7662337662337664</v>
      </c>
      <c r="AK17" s="1032">
        <f t="shared" si="23"/>
        <v>3.7662337662337664</v>
      </c>
      <c r="AL17" s="1032">
        <f t="shared" si="23"/>
        <v>3.7662337662337664</v>
      </c>
      <c r="AM17" s="1032">
        <f t="shared" si="23"/>
        <v>3.7662337662337664</v>
      </c>
      <c r="AN17" s="1032">
        <f t="shared" si="23"/>
        <v>3.7662337662337664</v>
      </c>
      <c r="AO17" s="1032">
        <f t="shared" si="23"/>
        <v>3.7662337662337664</v>
      </c>
      <c r="AP17" s="1032">
        <f t="shared" si="23"/>
        <v>3.7662337662337664</v>
      </c>
      <c r="AQ17" s="1032">
        <f t="shared" si="23"/>
        <v>3.7662337662337664</v>
      </c>
      <c r="AR17" s="1032">
        <f t="shared" si="23"/>
        <v>3.7662337662337664</v>
      </c>
      <c r="AS17" s="1032">
        <f t="shared" si="23"/>
        <v>3.7662337662337664</v>
      </c>
      <c r="AT17" s="1032">
        <f t="shared" si="23"/>
        <v>3.7662337662337664</v>
      </c>
      <c r="AU17" s="1033"/>
      <c r="AV17" s="1031"/>
      <c r="AW17" s="1032">
        <f t="shared" ref="AW17:BH17" si="24">AW15/$C17</f>
        <v>3.7662337662337664</v>
      </c>
      <c r="AX17" s="1032">
        <f t="shared" si="24"/>
        <v>3.7662337662337664</v>
      </c>
      <c r="AY17" s="1032">
        <f t="shared" si="24"/>
        <v>3.7662337662337664</v>
      </c>
      <c r="AZ17" s="1032">
        <f t="shared" si="24"/>
        <v>3.7662337662337664</v>
      </c>
      <c r="BA17" s="1032">
        <f t="shared" si="24"/>
        <v>3.7662337662337664</v>
      </c>
      <c r="BB17" s="1032">
        <f t="shared" si="24"/>
        <v>3.7662337662337664</v>
      </c>
      <c r="BC17" s="1032">
        <f t="shared" si="24"/>
        <v>3.8961038961038961</v>
      </c>
      <c r="BD17" s="1032">
        <f t="shared" si="24"/>
        <v>3.8961038961038961</v>
      </c>
      <c r="BE17" s="1032">
        <f t="shared" si="24"/>
        <v>3.8961038961038961</v>
      </c>
      <c r="BF17" s="1032">
        <f t="shared" si="24"/>
        <v>3.8961038961038961</v>
      </c>
      <c r="BG17" s="1032">
        <f t="shared" si="24"/>
        <v>3.8961038961038961</v>
      </c>
      <c r="BH17" s="1032">
        <f t="shared" si="24"/>
        <v>3.8961038961038961</v>
      </c>
      <c r="BI17" s="1038"/>
      <c r="BJ17" s="1032">
        <f t="shared" ref="BJ17:BU17" si="25">BJ15/$C17</f>
        <v>3.8961038961038961</v>
      </c>
      <c r="BK17" s="1032">
        <f t="shared" si="25"/>
        <v>3.8961038961038961</v>
      </c>
      <c r="BL17" s="1032">
        <f t="shared" si="25"/>
        <v>3.8961038961038961</v>
      </c>
      <c r="BM17" s="1032">
        <f t="shared" si="25"/>
        <v>3.8961038961038961</v>
      </c>
      <c r="BN17" s="1032">
        <f t="shared" si="25"/>
        <v>3.8961038961038961</v>
      </c>
      <c r="BO17" s="1032">
        <f t="shared" si="25"/>
        <v>3.8961038961038961</v>
      </c>
      <c r="BP17" s="1032">
        <f t="shared" si="25"/>
        <v>3.8961038961038961</v>
      </c>
      <c r="BQ17" s="1032">
        <f t="shared" si="25"/>
        <v>3.8961038961038961</v>
      </c>
      <c r="BR17" s="1032">
        <f t="shared" si="25"/>
        <v>3.8961038961038961</v>
      </c>
      <c r="BS17" s="1032">
        <f t="shared" si="25"/>
        <v>3.8961038961038961</v>
      </c>
      <c r="BT17" s="1032">
        <f t="shared" si="25"/>
        <v>3.8961038961038961</v>
      </c>
      <c r="BU17" s="1032">
        <f t="shared" si="25"/>
        <v>3.8961038961038961</v>
      </c>
      <c r="BV17" s="1038"/>
      <c r="BW17" s="1032">
        <f t="shared" ref="BW17:CH17" si="26">BW15/$C17</f>
        <v>4.0259740259740262</v>
      </c>
      <c r="BX17" s="1032">
        <f t="shared" si="26"/>
        <v>4.0259740259740262</v>
      </c>
      <c r="BY17" s="1032">
        <f t="shared" si="26"/>
        <v>4.0259740259740262</v>
      </c>
      <c r="BZ17" s="1032">
        <f t="shared" si="26"/>
        <v>4.0259740259740262</v>
      </c>
      <c r="CA17" s="1032">
        <f t="shared" si="26"/>
        <v>4.0259740259740262</v>
      </c>
      <c r="CB17" s="1032">
        <f t="shared" si="26"/>
        <v>4.0259740259740262</v>
      </c>
      <c r="CC17" s="1032">
        <f t="shared" si="26"/>
        <v>4.0259740259740262</v>
      </c>
      <c r="CD17" s="1032">
        <f t="shared" si="26"/>
        <v>4.0259740259740262</v>
      </c>
      <c r="CE17" s="1032">
        <f t="shared" si="26"/>
        <v>4.0259740259740262</v>
      </c>
      <c r="CF17" s="1032">
        <f t="shared" si="26"/>
        <v>4.0259740259740262</v>
      </c>
      <c r="CG17" s="1032">
        <f t="shared" si="26"/>
        <v>4.0259740259740262</v>
      </c>
      <c r="CH17" s="1032">
        <f t="shared" si="26"/>
        <v>4.0259740259740262</v>
      </c>
      <c r="CI17" s="1038"/>
      <c r="CJ17" s="1032">
        <f t="shared" ref="CJ17:CU17" si="27">CJ15/$C17</f>
        <v>4.0259740259740262</v>
      </c>
      <c r="CK17" s="1032">
        <f t="shared" si="27"/>
        <v>4.0259740259740262</v>
      </c>
      <c r="CL17" s="1032">
        <f t="shared" si="27"/>
        <v>4.0259740259740262</v>
      </c>
      <c r="CM17" s="1032">
        <f t="shared" si="27"/>
        <v>4.0259740259740262</v>
      </c>
      <c r="CN17" s="1032">
        <f t="shared" si="27"/>
        <v>4.0259740259740262</v>
      </c>
      <c r="CO17" s="1032">
        <f t="shared" si="27"/>
        <v>4.0259740259740262</v>
      </c>
      <c r="CP17" s="1032">
        <f t="shared" si="27"/>
        <v>4.0259740259740262</v>
      </c>
      <c r="CQ17" s="1032">
        <f t="shared" si="27"/>
        <v>4.0259740259740262</v>
      </c>
      <c r="CR17" s="1032">
        <f t="shared" si="27"/>
        <v>4.0259740259740262</v>
      </c>
      <c r="CS17" s="1032">
        <f t="shared" si="27"/>
        <v>4.0259740259740262</v>
      </c>
      <c r="CT17" s="1032">
        <f t="shared" si="27"/>
        <v>4.0259740259740262</v>
      </c>
      <c r="CU17" s="1032">
        <f t="shared" si="27"/>
        <v>4.0259740259740262</v>
      </c>
      <c r="CV17" s="1038"/>
    </row>
    <row r="18" spans="1:101" ht="12" customHeight="1" x14ac:dyDescent="0.3">
      <c r="D18" s="133" t="s">
        <v>748</v>
      </c>
      <c r="F18" s="717"/>
      <c r="S18" s="718"/>
      <c r="T18" s="719"/>
      <c r="U18" s="133">
        <f t="shared" ref="U18:AF18" si="28">U15/U17</f>
        <v>38.5</v>
      </c>
      <c r="V18" s="133">
        <f t="shared" si="28"/>
        <v>38.5</v>
      </c>
      <c r="W18" s="133">
        <f t="shared" si="28"/>
        <v>38.5</v>
      </c>
      <c r="X18" s="133">
        <f t="shared" si="28"/>
        <v>38.5</v>
      </c>
      <c r="Y18" s="133">
        <f t="shared" si="28"/>
        <v>38.5</v>
      </c>
      <c r="Z18" s="133">
        <f t="shared" si="28"/>
        <v>38.5</v>
      </c>
      <c r="AA18" s="133">
        <f t="shared" si="28"/>
        <v>38.5</v>
      </c>
      <c r="AB18" s="133">
        <f t="shared" si="28"/>
        <v>38.5</v>
      </c>
      <c r="AC18" s="133">
        <f t="shared" si="28"/>
        <v>38.5</v>
      </c>
      <c r="AD18" s="133">
        <f t="shared" si="28"/>
        <v>38.5</v>
      </c>
      <c r="AE18" s="133">
        <f t="shared" si="28"/>
        <v>38.5</v>
      </c>
      <c r="AF18" s="133">
        <f t="shared" si="28"/>
        <v>38.5</v>
      </c>
      <c r="AG18" s="719"/>
      <c r="AH18" s="735" t="s">
        <v>334</v>
      </c>
      <c r="AI18" s="133">
        <f t="shared" ref="AI18:AT18" si="29">AI15/AI17</f>
        <v>38.5</v>
      </c>
      <c r="AJ18" s="133">
        <f t="shared" si="29"/>
        <v>38.5</v>
      </c>
      <c r="AK18" s="133">
        <f t="shared" si="29"/>
        <v>38.5</v>
      </c>
      <c r="AL18" s="133">
        <f t="shared" si="29"/>
        <v>38.5</v>
      </c>
      <c r="AM18" s="133">
        <f t="shared" si="29"/>
        <v>38.5</v>
      </c>
      <c r="AN18" s="133">
        <f t="shared" si="29"/>
        <v>38.5</v>
      </c>
      <c r="AO18" s="133">
        <f t="shared" si="29"/>
        <v>38.5</v>
      </c>
      <c r="AP18" s="133">
        <f t="shared" si="29"/>
        <v>38.5</v>
      </c>
      <c r="AQ18" s="133">
        <f t="shared" si="29"/>
        <v>38.5</v>
      </c>
      <c r="AR18" s="133">
        <f t="shared" si="29"/>
        <v>38.5</v>
      </c>
      <c r="AS18" s="133">
        <f t="shared" si="29"/>
        <v>38.5</v>
      </c>
      <c r="AT18" s="133">
        <f t="shared" si="29"/>
        <v>38.5</v>
      </c>
      <c r="AV18" s="735" t="s">
        <v>334</v>
      </c>
      <c r="AW18" s="133">
        <f t="shared" ref="AW18:BH18" si="30">AW15/AW17</f>
        <v>38.5</v>
      </c>
      <c r="AX18" s="133">
        <f t="shared" si="30"/>
        <v>38.5</v>
      </c>
      <c r="AY18" s="133">
        <f t="shared" si="30"/>
        <v>38.5</v>
      </c>
      <c r="AZ18" s="133">
        <f t="shared" si="30"/>
        <v>38.5</v>
      </c>
      <c r="BA18" s="133">
        <f t="shared" si="30"/>
        <v>38.5</v>
      </c>
      <c r="BB18" s="133">
        <f t="shared" si="30"/>
        <v>38.5</v>
      </c>
      <c r="BC18" s="133">
        <f t="shared" si="30"/>
        <v>38.5</v>
      </c>
      <c r="BD18" s="133">
        <f t="shared" si="30"/>
        <v>38.5</v>
      </c>
      <c r="BE18" s="133">
        <f t="shared" si="30"/>
        <v>38.5</v>
      </c>
      <c r="BF18" s="133">
        <f t="shared" si="30"/>
        <v>38.5</v>
      </c>
      <c r="BG18" s="133">
        <f t="shared" si="30"/>
        <v>38.5</v>
      </c>
      <c r="BH18" s="133">
        <f t="shared" si="30"/>
        <v>38.5</v>
      </c>
      <c r="BI18" s="1039" t="s">
        <v>334</v>
      </c>
      <c r="BJ18" s="133">
        <f t="shared" ref="BJ18:BU18" si="31">BJ15/BJ17</f>
        <v>38.5</v>
      </c>
      <c r="BK18" s="133">
        <f t="shared" si="31"/>
        <v>38.5</v>
      </c>
      <c r="BL18" s="133">
        <f t="shared" si="31"/>
        <v>38.5</v>
      </c>
      <c r="BM18" s="133">
        <f t="shared" si="31"/>
        <v>38.5</v>
      </c>
      <c r="BN18" s="133">
        <f t="shared" si="31"/>
        <v>38.5</v>
      </c>
      <c r="BO18" s="133">
        <f t="shared" si="31"/>
        <v>38.5</v>
      </c>
      <c r="BP18" s="133">
        <f t="shared" si="31"/>
        <v>38.5</v>
      </c>
      <c r="BQ18" s="133">
        <f t="shared" si="31"/>
        <v>38.5</v>
      </c>
      <c r="BR18" s="133">
        <f t="shared" si="31"/>
        <v>38.5</v>
      </c>
      <c r="BS18" s="133">
        <f t="shared" si="31"/>
        <v>38.5</v>
      </c>
      <c r="BT18" s="133">
        <f t="shared" si="31"/>
        <v>38.5</v>
      </c>
      <c r="BU18" s="133">
        <f t="shared" si="31"/>
        <v>38.5</v>
      </c>
      <c r="BV18" s="1039" t="s">
        <v>334</v>
      </c>
      <c r="BW18" s="133">
        <f t="shared" ref="BW18:CH18" si="32">BW15/BW17</f>
        <v>38.5</v>
      </c>
      <c r="BX18" s="133">
        <f t="shared" si="32"/>
        <v>38.5</v>
      </c>
      <c r="BY18" s="133">
        <f t="shared" si="32"/>
        <v>38.5</v>
      </c>
      <c r="BZ18" s="133">
        <f t="shared" si="32"/>
        <v>38.5</v>
      </c>
      <c r="CA18" s="133">
        <f t="shared" si="32"/>
        <v>38.5</v>
      </c>
      <c r="CB18" s="133">
        <f t="shared" si="32"/>
        <v>38.5</v>
      </c>
      <c r="CC18" s="133">
        <f t="shared" si="32"/>
        <v>38.5</v>
      </c>
      <c r="CD18" s="133">
        <f t="shared" si="32"/>
        <v>38.5</v>
      </c>
      <c r="CE18" s="133">
        <f t="shared" si="32"/>
        <v>38.5</v>
      </c>
      <c r="CF18" s="133">
        <f t="shared" si="32"/>
        <v>38.5</v>
      </c>
      <c r="CG18" s="133">
        <f t="shared" si="32"/>
        <v>38.5</v>
      </c>
      <c r="CH18" s="133">
        <f t="shared" si="32"/>
        <v>38.5</v>
      </c>
      <c r="CI18" s="1039" t="s">
        <v>334</v>
      </c>
      <c r="CJ18" s="133">
        <f t="shared" ref="CJ18:CU18" si="33">CJ15/CJ17</f>
        <v>38.5</v>
      </c>
      <c r="CK18" s="133">
        <f t="shared" si="33"/>
        <v>38.5</v>
      </c>
      <c r="CL18" s="133">
        <f t="shared" si="33"/>
        <v>38.5</v>
      </c>
      <c r="CM18" s="133">
        <f t="shared" si="33"/>
        <v>38.5</v>
      </c>
      <c r="CN18" s="133">
        <f t="shared" si="33"/>
        <v>38.5</v>
      </c>
      <c r="CO18" s="133">
        <f t="shared" si="33"/>
        <v>38.5</v>
      </c>
      <c r="CP18" s="133">
        <f t="shared" si="33"/>
        <v>38.5</v>
      </c>
      <c r="CQ18" s="133">
        <f t="shared" si="33"/>
        <v>38.5</v>
      </c>
      <c r="CR18" s="133">
        <f t="shared" si="33"/>
        <v>38.5</v>
      </c>
      <c r="CS18" s="133">
        <f t="shared" si="33"/>
        <v>38.5</v>
      </c>
      <c r="CT18" s="133">
        <f t="shared" si="33"/>
        <v>38.5</v>
      </c>
      <c r="CU18" s="133">
        <f t="shared" si="33"/>
        <v>38.5</v>
      </c>
      <c r="CV18" s="1042"/>
    </row>
    <row r="19" spans="1:101" ht="13" x14ac:dyDescent="0.3">
      <c r="D19" s="133" t="s">
        <v>749</v>
      </c>
      <c r="F19" s="717"/>
      <c r="S19" s="718"/>
      <c r="T19" s="719"/>
      <c r="U19" s="736">
        <f>U21/U17</f>
        <v>5072.2120370370167</v>
      </c>
      <c r="V19" s="736">
        <f>V21/V17</f>
        <v>5072.2120370370167</v>
      </c>
      <c r="W19" s="736">
        <f>W21/W17</f>
        <v>5072.2120370370167</v>
      </c>
      <c r="X19" s="736">
        <f>X21/X17</f>
        <v>5072.2120370370167</v>
      </c>
      <c r="Y19" s="736">
        <f>Y21/Y17/2</f>
        <v>5072.2120370370403</v>
      </c>
      <c r="Z19" s="736">
        <f>Z21/Z17</f>
        <v>5272.5848999999953</v>
      </c>
      <c r="AA19" s="736">
        <f>AA21/AA17</f>
        <v>5272.5848999999953</v>
      </c>
      <c r="AB19" s="736">
        <f>AB21/AB17</f>
        <v>5013.0309166666575</v>
      </c>
      <c r="AC19" s="736">
        <f>AC21/AC17</f>
        <v>5023.8233333333274</v>
      </c>
      <c r="AD19" s="736">
        <f>AD21/AD17/2</f>
        <v>4338.9371805555538</v>
      </c>
      <c r="AE19" s="736">
        <f>AE21/AE17</f>
        <v>5023.8233333333274</v>
      </c>
      <c r="AF19" s="736">
        <f>AF21/AF17</f>
        <v>4923.9114137930956</v>
      </c>
      <c r="AG19" s="719"/>
      <c r="AH19" s="737">
        <f>Aufwand!AI4</f>
        <v>1.0329999999999999</v>
      </c>
      <c r="AI19" s="738">
        <f>AF19*$AH19</f>
        <v>5086.4004904482672</v>
      </c>
      <c r="AJ19" s="738">
        <f t="shared" ref="AJ19:AT19" si="34">AI19</f>
        <v>5086.4004904482672</v>
      </c>
      <c r="AK19" s="738">
        <f t="shared" si="34"/>
        <v>5086.4004904482672</v>
      </c>
      <c r="AL19" s="738">
        <f t="shared" si="34"/>
        <v>5086.4004904482672</v>
      </c>
      <c r="AM19" s="738">
        <f t="shared" si="34"/>
        <v>5086.4004904482672</v>
      </c>
      <c r="AN19" s="738">
        <f t="shared" si="34"/>
        <v>5086.4004904482672</v>
      </c>
      <c r="AO19" s="738">
        <f t="shared" si="34"/>
        <v>5086.4004904482672</v>
      </c>
      <c r="AP19" s="738">
        <f t="shared" si="34"/>
        <v>5086.4004904482672</v>
      </c>
      <c r="AQ19" s="738">
        <f t="shared" si="34"/>
        <v>5086.4004904482672</v>
      </c>
      <c r="AR19" s="738">
        <f t="shared" si="34"/>
        <v>5086.4004904482672</v>
      </c>
      <c r="AS19" s="738">
        <f t="shared" si="34"/>
        <v>5086.4004904482672</v>
      </c>
      <c r="AT19" s="738">
        <f t="shared" si="34"/>
        <v>5086.4004904482672</v>
      </c>
      <c r="AU19" s="736"/>
      <c r="AV19" s="737">
        <f>Aufwand!AW4</f>
        <v>1.03</v>
      </c>
      <c r="AW19" s="738">
        <f>AT19*AV19</f>
        <v>5238.9925051617156</v>
      </c>
      <c r="AX19" s="738">
        <f t="shared" ref="AX19" si="35">AW19</f>
        <v>5238.9925051617156</v>
      </c>
      <c r="AY19" s="738">
        <f t="shared" ref="AY19" si="36">AX19</f>
        <v>5238.9925051617156</v>
      </c>
      <c r="AZ19" s="738">
        <f t="shared" ref="AZ19" si="37">AY19</f>
        <v>5238.9925051617156</v>
      </c>
      <c r="BA19" s="738">
        <f t="shared" ref="BA19" si="38">AZ19</f>
        <v>5238.9925051617156</v>
      </c>
      <c r="BB19" s="738">
        <f t="shared" ref="BB19" si="39">BA19</f>
        <v>5238.9925051617156</v>
      </c>
      <c r="BC19" s="738">
        <f t="shared" ref="BC19" si="40">BB19</f>
        <v>5238.9925051617156</v>
      </c>
      <c r="BD19" s="738">
        <f t="shared" ref="BD19" si="41">BC19</f>
        <v>5238.9925051617156</v>
      </c>
      <c r="BE19" s="738">
        <f t="shared" ref="BE19" si="42">BD19</f>
        <v>5238.9925051617156</v>
      </c>
      <c r="BF19" s="738">
        <f t="shared" ref="BF19" si="43">BE19</f>
        <v>5238.9925051617156</v>
      </c>
      <c r="BG19" s="738">
        <f t="shared" ref="BG19" si="44">BF19</f>
        <v>5238.9925051617156</v>
      </c>
      <c r="BH19" s="738">
        <f t="shared" ref="BH19" si="45">BG19</f>
        <v>5238.9925051617156</v>
      </c>
      <c r="BI19" s="1040">
        <f>Aufwand!BK4</f>
        <v>1.028</v>
      </c>
      <c r="BJ19" s="738">
        <f>BH19*BI19</f>
        <v>5385.6842953062442</v>
      </c>
      <c r="BK19" s="738">
        <f t="shared" ref="BK19" si="46">BJ19</f>
        <v>5385.6842953062442</v>
      </c>
      <c r="BL19" s="738">
        <f t="shared" ref="BL19" si="47">BK19</f>
        <v>5385.6842953062442</v>
      </c>
      <c r="BM19" s="738">
        <f t="shared" ref="BM19" si="48">BL19</f>
        <v>5385.6842953062442</v>
      </c>
      <c r="BN19" s="738">
        <f t="shared" ref="BN19" si="49">BM19</f>
        <v>5385.6842953062442</v>
      </c>
      <c r="BO19" s="738">
        <f t="shared" ref="BO19" si="50">BN19</f>
        <v>5385.6842953062442</v>
      </c>
      <c r="BP19" s="738">
        <f t="shared" ref="BP19" si="51">BO19</f>
        <v>5385.6842953062442</v>
      </c>
      <c r="BQ19" s="738">
        <f t="shared" ref="BQ19" si="52">BP19</f>
        <v>5385.6842953062442</v>
      </c>
      <c r="BR19" s="738">
        <f t="shared" ref="BR19" si="53">BQ19</f>
        <v>5385.6842953062442</v>
      </c>
      <c r="BS19" s="738">
        <f t="shared" ref="BS19" si="54">BR19</f>
        <v>5385.6842953062442</v>
      </c>
      <c r="BT19" s="738">
        <f t="shared" ref="BT19" si="55">BS19</f>
        <v>5385.6842953062442</v>
      </c>
      <c r="BU19" s="738">
        <f t="shared" ref="BU19" si="56">BT19</f>
        <v>5385.6842953062442</v>
      </c>
      <c r="BV19" s="1046">
        <f>Aufwand!BY4</f>
        <v>1.028</v>
      </c>
      <c r="BW19" s="738">
        <f>BU19*BV19</f>
        <v>5536.4834555748193</v>
      </c>
      <c r="BX19" s="738">
        <f t="shared" ref="BX19" si="57">BW19</f>
        <v>5536.4834555748193</v>
      </c>
      <c r="BY19" s="738">
        <f t="shared" ref="BY19" si="58">BX19</f>
        <v>5536.4834555748193</v>
      </c>
      <c r="BZ19" s="738">
        <f t="shared" ref="BZ19" si="59">BY19</f>
        <v>5536.4834555748193</v>
      </c>
      <c r="CA19" s="738">
        <f t="shared" ref="CA19" si="60">BZ19</f>
        <v>5536.4834555748193</v>
      </c>
      <c r="CB19" s="738">
        <f t="shared" ref="CB19" si="61">CA19</f>
        <v>5536.4834555748193</v>
      </c>
      <c r="CC19" s="738">
        <f t="shared" ref="CC19" si="62">CB19</f>
        <v>5536.4834555748193</v>
      </c>
      <c r="CD19" s="738">
        <f t="shared" ref="CD19" si="63">CC19</f>
        <v>5536.4834555748193</v>
      </c>
      <c r="CE19" s="738">
        <f t="shared" ref="CE19" si="64">CD19</f>
        <v>5536.4834555748193</v>
      </c>
      <c r="CF19" s="738">
        <f t="shared" ref="CF19" si="65">CE19</f>
        <v>5536.4834555748193</v>
      </c>
      <c r="CG19" s="738">
        <f t="shared" ref="CG19" si="66">CF19</f>
        <v>5536.4834555748193</v>
      </c>
      <c r="CH19" s="738">
        <f t="shared" ref="CH19" si="67">CG19</f>
        <v>5536.4834555748193</v>
      </c>
      <c r="CI19" s="1046">
        <f>Aufwand!CM4</f>
        <v>1.028</v>
      </c>
      <c r="CJ19" s="738">
        <f>CH19*CI19</f>
        <v>5691.5049923309143</v>
      </c>
      <c r="CK19" s="738">
        <f t="shared" ref="CK19" si="68">CJ19</f>
        <v>5691.5049923309143</v>
      </c>
      <c r="CL19" s="738">
        <f t="shared" ref="CL19" si="69">CK19</f>
        <v>5691.5049923309143</v>
      </c>
      <c r="CM19" s="738">
        <f t="shared" ref="CM19" si="70">CL19</f>
        <v>5691.5049923309143</v>
      </c>
      <c r="CN19" s="738">
        <f t="shared" ref="CN19" si="71">CM19</f>
        <v>5691.5049923309143</v>
      </c>
      <c r="CO19" s="738">
        <f t="shared" ref="CO19" si="72">CN19</f>
        <v>5691.5049923309143</v>
      </c>
      <c r="CP19" s="738">
        <f t="shared" ref="CP19" si="73">CO19</f>
        <v>5691.5049923309143</v>
      </c>
      <c r="CQ19" s="738">
        <f t="shared" ref="CQ19" si="74">CP19</f>
        <v>5691.5049923309143</v>
      </c>
      <c r="CR19" s="738">
        <f t="shared" ref="CR19" si="75">CQ19</f>
        <v>5691.5049923309143</v>
      </c>
      <c r="CS19" s="738">
        <f t="shared" ref="CS19" si="76">CR19</f>
        <v>5691.5049923309143</v>
      </c>
      <c r="CT19" s="738">
        <f t="shared" ref="CT19" si="77">CS19</f>
        <v>5691.5049923309143</v>
      </c>
      <c r="CU19" s="738">
        <f t="shared" ref="CU19" si="78">CT19</f>
        <v>5691.5049923309143</v>
      </c>
      <c r="CV19" s="1041"/>
    </row>
    <row r="20" spans="1:101" ht="13" x14ac:dyDescent="0.3">
      <c r="A20" s="133" t="s">
        <v>750</v>
      </c>
      <c r="F20" s="717"/>
      <c r="S20" s="718"/>
      <c r="T20" s="719"/>
      <c r="U20" s="736"/>
      <c r="V20" s="736"/>
      <c r="W20" s="736"/>
      <c r="X20" s="736"/>
      <c r="Y20" s="736"/>
      <c r="Z20" s="736"/>
      <c r="AA20" s="736"/>
      <c r="AB20" s="736"/>
      <c r="AC20" s="736"/>
      <c r="AD20" s="736"/>
      <c r="AE20" s="736"/>
      <c r="AF20" s="736"/>
      <c r="AG20" s="719"/>
      <c r="AH20" s="737"/>
      <c r="AI20" s="738">
        <v>500</v>
      </c>
      <c r="AJ20" s="738">
        <v>500</v>
      </c>
      <c r="AK20" s="738">
        <v>4000</v>
      </c>
      <c r="AL20" s="738">
        <v>500</v>
      </c>
      <c r="AM20" s="738"/>
      <c r="AN20" s="738"/>
      <c r="AO20" s="738"/>
      <c r="AP20" s="738"/>
      <c r="AQ20" s="738"/>
      <c r="AR20" s="738"/>
      <c r="AS20" s="738"/>
      <c r="AT20" s="738"/>
      <c r="AU20" s="736"/>
      <c r="AV20" s="737"/>
      <c r="AW20" s="738"/>
      <c r="AX20" s="738"/>
      <c r="AY20" s="738"/>
      <c r="AZ20" s="738"/>
      <c r="BA20" s="738"/>
      <c r="BB20" s="738"/>
      <c r="BC20" s="738"/>
      <c r="BD20" s="738"/>
      <c r="BE20" s="738"/>
      <c r="BF20" s="738"/>
      <c r="BG20" s="738"/>
      <c r="BH20" s="738"/>
      <c r="BI20" s="1041"/>
      <c r="BJ20" s="738"/>
      <c r="BK20" s="738"/>
      <c r="BL20" s="738"/>
      <c r="BM20" s="738"/>
      <c r="BN20" s="738"/>
      <c r="BO20" s="738"/>
      <c r="BP20" s="738"/>
      <c r="BQ20" s="738"/>
      <c r="BR20" s="738"/>
      <c r="BS20" s="738"/>
      <c r="BT20" s="738"/>
      <c r="BU20" s="738"/>
      <c r="BV20" s="1041"/>
      <c r="BW20" s="738"/>
      <c r="BX20" s="738"/>
      <c r="BY20" s="738"/>
      <c r="BZ20" s="738"/>
      <c r="CA20" s="738"/>
      <c r="CB20" s="738"/>
      <c r="CC20" s="738"/>
      <c r="CD20" s="738"/>
      <c r="CE20" s="738"/>
      <c r="CF20" s="738"/>
      <c r="CG20" s="738"/>
      <c r="CH20" s="738"/>
      <c r="CI20" s="1041"/>
      <c r="CJ20" s="738"/>
      <c r="CK20" s="738"/>
      <c r="CL20" s="738"/>
      <c r="CM20" s="738"/>
      <c r="CN20" s="738"/>
      <c r="CO20" s="738"/>
      <c r="CP20" s="738"/>
      <c r="CQ20" s="738"/>
      <c r="CR20" s="738"/>
      <c r="CS20" s="738"/>
      <c r="CT20" s="738"/>
      <c r="CU20" s="738"/>
      <c r="CV20" s="1041"/>
    </row>
    <row r="21" spans="1:101" ht="13" x14ac:dyDescent="0.3">
      <c r="A21" s="739" t="s">
        <v>751</v>
      </c>
      <c r="B21" s="740" t="s">
        <v>752</v>
      </c>
      <c r="C21" s="741"/>
      <c r="D21" s="742">
        <v>45911</v>
      </c>
      <c r="E21" s="741"/>
      <c r="F21" s="743"/>
      <c r="G21" s="741"/>
      <c r="H21" s="741"/>
      <c r="I21" s="741"/>
      <c r="J21" s="741"/>
      <c r="K21" s="741"/>
      <c r="L21" s="741"/>
      <c r="M21" s="741"/>
      <c r="N21" s="741"/>
      <c r="O21" s="741"/>
      <c r="P21" s="741"/>
      <c r="Q21" s="741"/>
      <c r="R21" s="741"/>
      <c r="S21" s="744"/>
      <c r="T21" s="745"/>
      <c r="U21" s="746">
        <v>10671.407142857101</v>
      </c>
      <c r="V21" s="746">
        <v>10671.407142857101</v>
      </c>
      <c r="W21" s="746">
        <v>10671.407142857101</v>
      </c>
      <c r="X21" s="746">
        <v>10671.407142857101</v>
      </c>
      <c r="Y21" s="746">
        <v>21342.814285714299</v>
      </c>
      <c r="Z21" s="746">
        <v>13695.025714285701</v>
      </c>
      <c r="AA21" s="746">
        <v>13695.025714285701</v>
      </c>
      <c r="AB21" s="746">
        <v>15625.031428571399</v>
      </c>
      <c r="AC21" s="746">
        <v>21530.671428571401</v>
      </c>
      <c r="AD21" s="746">
        <v>37190.890119047603</v>
      </c>
      <c r="AE21" s="746">
        <v>21530.671428571401</v>
      </c>
      <c r="AF21" s="746">
        <v>18544.601428571401</v>
      </c>
      <c r="AG21" s="747">
        <f>SUM(U21:AF21)</f>
        <v>205840.36011904728</v>
      </c>
      <c r="AH21" s="720"/>
      <c r="AI21" s="746">
        <f>AI19*AI17+AI20</f>
        <v>19656.573275714254</v>
      </c>
      <c r="AJ21" s="746">
        <f>AJ19*AJ17+AJ20</f>
        <v>19656.573275714254</v>
      </c>
      <c r="AK21" s="746">
        <f>AK19*AK17+AK20</f>
        <v>23156.573275714254</v>
      </c>
      <c r="AL21" s="746">
        <f>AL19*AL17+AL20</f>
        <v>19656.573275714254</v>
      </c>
      <c r="AM21" s="746">
        <f>AM19*AM17*2</f>
        <v>38313.146551428508</v>
      </c>
      <c r="AN21" s="746">
        <f>AN19*AN17</f>
        <v>19156.573275714254</v>
      </c>
      <c r="AO21" s="746">
        <f>AO19*AO17</f>
        <v>19156.573275714254</v>
      </c>
      <c r="AP21" s="746">
        <f>AP19*AP17</f>
        <v>19156.573275714254</v>
      </c>
      <c r="AQ21" s="746">
        <f>AQ19*AQ17</f>
        <v>19156.573275714254</v>
      </c>
      <c r="AR21" s="746">
        <f>AR19*AR17*2</f>
        <v>38313.146551428508</v>
      </c>
      <c r="AS21" s="746">
        <f>AS19*AS17</f>
        <v>19156.573275714254</v>
      </c>
      <c r="AT21" s="746">
        <f>AT19*AT17</f>
        <v>19156.573275714254</v>
      </c>
      <c r="AU21" s="746">
        <f>SUM(AI21:AT21)</f>
        <v>273692.02585999953</v>
      </c>
      <c r="AV21" s="720"/>
      <c r="AW21" s="746">
        <f>AW19*AW17+AW20</f>
        <v>19731.270473985682</v>
      </c>
      <c r="AX21" s="746">
        <f>AX19*AX17+AX20</f>
        <v>19731.270473985682</v>
      </c>
      <c r="AY21" s="746">
        <f>AY19*AY17+AY20</f>
        <v>19731.270473985682</v>
      </c>
      <c r="AZ21" s="746">
        <f>AZ19*AZ17+AZ20</f>
        <v>19731.270473985682</v>
      </c>
      <c r="BA21" s="746">
        <f>BA19*BA17*2</f>
        <v>39462.540947971363</v>
      </c>
      <c r="BB21" s="746">
        <f>BB19*BB17</f>
        <v>19731.270473985682</v>
      </c>
      <c r="BC21" s="746">
        <f>BC19*BC17</f>
        <v>20411.659111019671</v>
      </c>
      <c r="BD21" s="746">
        <f>BD19*BD17</f>
        <v>20411.659111019671</v>
      </c>
      <c r="BE21" s="746">
        <f>BE19*BE17</f>
        <v>20411.659111019671</v>
      </c>
      <c r="BF21" s="746">
        <f>BF19*BF17*2</f>
        <v>40823.318222039343</v>
      </c>
      <c r="BG21" s="746">
        <f>BG19*BG17</f>
        <v>20411.659111019671</v>
      </c>
      <c r="BH21" s="746">
        <f>BH19*BH17</f>
        <v>20411.659111019671</v>
      </c>
      <c r="BI21" s="1043">
        <f>SUM(AW21:BH21)</f>
        <v>281000.50709503744</v>
      </c>
      <c r="BJ21" s="1044">
        <f>BJ19*BJ17+BJ20</f>
        <v>20983.185566128224</v>
      </c>
      <c r="BK21" s="1044">
        <f>BK19*BK17+BK20</f>
        <v>20983.185566128224</v>
      </c>
      <c r="BL21" s="1044">
        <f>BL19*BL17+BL20</f>
        <v>20983.185566128224</v>
      </c>
      <c r="BM21" s="1044">
        <f>BM19*BM17+BM20</f>
        <v>20983.185566128224</v>
      </c>
      <c r="BN21" s="1044">
        <f>BN19*BN17*2</f>
        <v>41966.371132256449</v>
      </c>
      <c r="BO21" s="1044">
        <f>BO19*BO17</f>
        <v>20983.185566128224</v>
      </c>
      <c r="BP21" s="1044">
        <f>BP19*BP17</f>
        <v>20983.185566128224</v>
      </c>
      <c r="BQ21" s="1044">
        <f>BQ19*BQ17</f>
        <v>20983.185566128224</v>
      </c>
      <c r="BR21" s="1044">
        <f>BR19*BR17</f>
        <v>20983.185566128224</v>
      </c>
      <c r="BS21" s="1044">
        <f>BS19*BS17*2</f>
        <v>41966.371132256449</v>
      </c>
      <c r="BT21" s="1044">
        <f>BT19*BT17</f>
        <v>20983.185566128224</v>
      </c>
      <c r="BU21" s="1044">
        <f>BU19*BU17</f>
        <v>20983.185566128224</v>
      </c>
      <c r="BV21" s="1043">
        <f>SUM(BJ21:BU21)</f>
        <v>293764.59792579518</v>
      </c>
      <c r="BW21" s="1044">
        <f>BW19*BW17+BW20</f>
        <v>22289.738587379143</v>
      </c>
      <c r="BX21" s="1044">
        <f>BX19*BX17+BX20</f>
        <v>22289.738587379143</v>
      </c>
      <c r="BY21" s="1044">
        <f>BY19*BY17+BY20</f>
        <v>22289.738587379143</v>
      </c>
      <c r="BZ21" s="1044">
        <f>BZ19*BZ17+BZ20</f>
        <v>22289.738587379143</v>
      </c>
      <c r="CA21" s="1044">
        <f>CA19*CA17*2</f>
        <v>44579.477174758285</v>
      </c>
      <c r="CB21" s="1044">
        <f>CB19*CB17</f>
        <v>22289.738587379143</v>
      </c>
      <c r="CC21" s="1044">
        <f>CC19*CC17</f>
        <v>22289.738587379143</v>
      </c>
      <c r="CD21" s="1044">
        <f>CD19*CD17</f>
        <v>22289.738587379143</v>
      </c>
      <c r="CE21" s="1044">
        <f>CE19*CE17</f>
        <v>22289.738587379143</v>
      </c>
      <c r="CF21" s="1044">
        <f>CF19*CF17*2</f>
        <v>44579.477174758285</v>
      </c>
      <c r="CG21" s="1044">
        <f>CG19*CG17</f>
        <v>22289.738587379143</v>
      </c>
      <c r="CH21" s="1044">
        <f>CH19*CH17</f>
        <v>22289.738587379143</v>
      </c>
      <c r="CI21" s="1043">
        <f>SUM(BW21:CH21)</f>
        <v>312056.34022330801</v>
      </c>
      <c r="CJ21" s="1044">
        <f>CJ19*CJ17+CJ20</f>
        <v>22913.851267825761</v>
      </c>
      <c r="CK21" s="1044">
        <f>CK19*CK17+CK20</f>
        <v>22913.851267825761</v>
      </c>
      <c r="CL21" s="1044">
        <f>CL19*CL17+CL20</f>
        <v>22913.851267825761</v>
      </c>
      <c r="CM21" s="1044">
        <f>CM19*CM17+CM20</f>
        <v>22913.851267825761</v>
      </c>
      <c r="CN21" s="1044">
        <f>CN19*CN17*2</f>
        <v>45827.702535651522</v>
      </c>
      <c r="CO21" s="1044">
        <f>CO19*CO17</f>
        <v>22913.851267825761</v>
      </c>
      <c r="CP21" s="1044">
        <f>CP19*CP17</f>
        <v>22913.851267825761</v>
      </c>
      <c r="CQ21" s="1044">
        <f>CQ19*CQ17</f>
        <v>22913.851267825761</v>
      </c>
      <c r="CR21" s="1044">
        <f>CR19*CR17</f>
        <v>22913.851267825761</v>
      </c>
      <c r="CS21" s="1044">
        <f>CS19*CS17*2</f>
        <v>45827.702535651522</v>
      </c>
      <c r="CT21" s="1044">
        <f>CT19*CT17</f>
        <v>22913.851267825761</v>
      </c>
      <c r="CU21" s="1044">
        <f>CU19*CU17</f>
        <v>22913.851267825761</v>
      </c>
      <c r="CV21" s="1043">
        <f>SUM(CJ21:CU21)</f>
        <v>320793.91774956061</v>
      </c>
      <c r="CW21" s="1029"/>
    </row>
    <row r="22" spans="1:101" ht="13" x14ac:dyDescent="0.3">
      <c r="A22" s="748" t="s">
        <v>747</v>
      </c>
      <c r="B22" s="748"/>
      <c r="C22" s="748"/>
      <c r="D22" s="748"/>
      <c r="E22" s="748"/>
      <c r="F22" s="725"/>
      <c r="G22" s="748"/>
      <c r="H22" s="748"/>
      <c r="I22" s="748"/>
      <c r="J22" s="748"/>
      <c r="K22" s="748"/>
      <c r="L22" s="748"/>
      <c r="M22" s="748"/>
      <c r="N22" s="748"/>
      <c r="O22" s="748"/>
      <c r="P22" s="748"/>
      <c r="Q22" s="748"/>
      <c r="R22" s="748"/>
      <c r="S22" s="726"/>
      <c r="T22" s="727"/>
      <c r="U22" s="749">
        <v>2.2999999999999998</v>
      </c>
      <c r="V22" s="749">
        <v>2.2999999999999998</v>
      </c>
      <c r="W22" s="749">
        <v>2.2999999999999998</v>
      </c>
      <c r="X22" s="749">
        <v>2.9</v>
      </c>
      <c r="Y22" s="749">
        <v>3.5</v>
      </c>
      <c r="Z22" s="749">
        <v>3.9</v>
      </c>
      <c r="AA22" s="749">
        <v>3.9</v>
      </c>
      <c r="AB22" s="749">
        <v>3.9</v>
      </c>
      <c r="AC22" s="749">
        <v>4.3</v>
      </c>
      <c r="AD22" s="749">
        <v>4.3</v>
      </c>
      <c r="AE22" s="749">
        <v>4.3</v>
      </c>
      <c r="AF22" s="749">
        <v>3.9</v>
      </c>
      <c r="AG22" s="727"/>
      <c r="AH22" s="720"/>
      <c r="AI22" s="749"/>
      <c r="AJ22" s="749"/>
      <c r="AK22" s="749"/>
      <c r="AL22" s="749"/>
      <c r="AM22" s="749"/>
      <c r="AN22" s="749"/>
      <c r="AO22" s="749"/>
      <c r="AP22" s="749"/>
      <c r="AQ22" s="749"/>
      <c r="AR22" s="749"/>
      <c r="AS22" s="749"/>
      <c r="AT22" s="749"/>
      <c r="AU22" s="749"/>
      <c r="AV22" s="720"/>
      <c r="AW22" s="749"/>
      <c r="AX22" s="749"/>
      <c r="AY22" s="749"/>
      <c r="AZ22" s="749"/>
      <c r="BA22" s="749"/>
      <c r="BB22" s="749"/>
      <c r="BC22" s="749"/>
      <c r="BD22" s="749"/>
      <c r="BE22" s="749"/>
      <c r="BF22" s="749"/>
      <c r="BG22" s="749"/>
      <c r="BH22" s="749"/>
      <c r="BI22" s="1038"/>
      <c r="BJ22" s="1029"/>
      <c r="BK22" s="1029"/>
      <c r="BL22" s="1029"/>
      <c r="BM22" s="1029"/>
      <c r="BN22" s="1029"/>
      <c r="BO22" s="1029"/>
      <c r="BP22" s="1029"/>
      <c r="BQ22" s="1029"/>
      <c r="BR22" s="1029"/>
      <c r="BS22" s="1029"/>
      <c r="BT22" s="1029"/>
      <c r="BU22" s="1029"/>
      <c r="BV22" s="1038"/>
      <c r="BW22" s="1029"/>
      <c r="BX22" s="1029"/>
      <c r="BY22" s="1029"/>
      <c r="BZ22" s="1029"/>
      <c r="CA22" s="1029"/>
      <c r="CB22" s="1029"/>
      <c r="CC22" s="1029"/>
      <c r="CD22" s="1029"/>
      <c r="CE22" s="1029"/>
      <c r="CF22" s="1029"/>
      <c r="CG22" s="1029"/>
      <c r="CH22" s="1029"/>
      <c r="CI22" s="1038"/>
      <c r="CJ22" s="1029"/>
      <c r="CK22" s="1029"/>
      <c r="CL22" s="1029"/>
      <c r="CM22" s="1029"/>
      <c r="CN22" s="1029"/>
      <c r="CO22" s="1029"/>
      <c r="CP22" s="1029"/>
      <c r="CQ22" s="1029"/>
      <c r="CR22" s="1029"/>
      <c r="CS22" s="1029"/>
      <c r="CT22" s="1029"/>
      <c r="CU22" s="1029"/>
      <c r="CV22" s="1038"/>
      <c r="CW22" s="1029"/>
    </row>
    <row r="23" spans="1:101" ht="13" x14ac:dyDescent="0.3">
      <c r="A23" s="723" t="s">
        <v>517</v>
      </c>
      <c r="B23" s="721"/>
      <c r="C23" s="721"/>
      <c r="D23" s="750">
        <v>0.72</v>
      </c>
      <c r="E23" s="721"/>
      <c r="F23" s="751"/>
      <c r="G23" s="721"/>
      <c r="H23" s="721"/>
      <c r="I23" s="721"/>
      <c r="J23" s="721"/>
      <c r="K23" s="721"/>
      <c r="L23" s="721"/>
      <c r="M23" s="721"/>
      <c r="N23" s="721"/>
      <c r="O23" s="721"/>
      <c r="P23" s="721"/>
      <c r="Q23" s="721"/>
      <c r="R23" s="721"/>
      <c r="S23" s="752"/>
      <c r="T23" s="753"/>
      <c r="U23" s="754">
        <f t="shared" ref="U23:AF23" si="79">U21*$D23</f>
        <v>7683.4131428571118</v>
      </c>
      <c r="V23" s="754">
        <f t="shared" si="79"/>
        <v>7683.4131428571118</v>
      </c>
      <c r="W23" s="754">
        <f t="shared" si="79"/>
        <v>7683.4131428571118</v>
      </c>
      <c r="X23" s="754">
        <f t="shared" si="79"/>
        <v>7683.4131428571118</v>
      </c>
      <c r="Y23" s="754">
        <f t="shared" si="79"/>
        <v>15366.826285714294</v>
      </c>
      <c r="Z23" s="754">
        <f t="shared" si="79"/>
        <v>9860.4185142857041</v>
      </c>
      <c r="AA23" s="754">
        <f t="shared" si="79"/>
        <v>9860.4185142857041</v>
      </c>
      <c r="AB23" s="754">
        <f t="shared" si="79"/>
        <v>11250.022628571407</v>
      </c>
      <c r="AC23" s="754">
        <f t="shared" si="79"/>
        <v>15502.083428571408</v>
      </c>
      <c r="AD23" s="754">
        <f t="shared" si="79"/>
        <v>26777.440885714273</v>
      </c>
      <c r="AE23" s="754">
        <f t="shared" si="79"/>
        <v>15502.083428571408</v>
      </c>
      <c r="AF23" s="754">
        <f t="shared" si="79"/>
        <v>13352.113028571408</v>
      </c>
      <c r="AG23" s="755"/>
      <c r="AH23" s="720"/>
      <c r="AI23" s="1034">
        <f t="shared" ref="AI23:AU23" si="80">AI21*$D23</f>
        <v>14152.732758514263</v>
      </c>
      <c r="AJ23" s="1034">
        <f t="shared" si="80"/>
        <v>14152.732758514263</v>
      </c>
      <c r="AK23" s="1034">
        <f t="shared" si="80"/>
        <v>16672.732758514263</v>
      </c>
      <c r="AL23" s="1034">
        <f t="shared" si="80"/>
        <v>14152.732758514263</v>
      </c>
      <c r="AM23" s="1034">
        <f t="shared" si="80"/>
        <v>27585.465517028526</v>
      </c>
      <c r="AN23" s="1034">
        <f t="shared" si="80"/>
        <v>13792.732758514263</v>
      </c>
      <c r="AO23" s="1034">
        <f t="shared" si="80"/>
        <v>13792.732758514263</v>
      </c>
      <c r="AP23" s="1034">
        <f t="shared" si="80"/>
        <v>13792.732758514263</v>
      </c>
      <c r="AQ23" s="1034">
        <f t="shared" si="80"/>
        <v>13792.732758514263</v>
      </c>
      <c r="AR23" s="1034">
        <f t="shared" si="80"/>
        <v>27585.465517028526</v>
      </c>
      <c r="AS23" s="1034">
        <f t="shared" si="80"/>
        <v>13792.732758514263</v>
      </c>
      <c r="AT23" s="1034">
        <f t="shared" si="80"/>
        <v>13792.732758514263</v>
      </c>
      <c r="AU23" s="1034">
        <f t="shared" si="80"/>
        <v>197058.25861919965</v>
      </c>
      <c r="AV23" s="720"/>
      <c r="AW23" s="1034">
        <f t="shared" ref="AW23:BI23" si="81">AW21*$D23</f>
        <v>14206.51474126969</v>
      </c>
      <c r="AX23" s="1034">
        <f t="shared" si="81"/>
        <v>14206.51474126969</v>
      </c>
      <c r="AY23" s="1034">
        <f t="shared" si="81"/>
        <v>14206.51474126969</v>
      </c>
      <c r="AZ23" s="1034">
        <f t="shared" si="81"/>
        <v>14206.51474126969</v>
      </c>
      <c r="BA23" s="1034">
        <f t="shared" si="81"/>
        <v>28413.029482539379</v>
      </c>
      <c r="BB23" s="1034">
        <f t="shared" si="81"/>
        <v>14206.51474126969</v>
      </c>
      <c r="BC23" s="1034">
        <f t="shared" si="81"/>
        <v>14696.394559934162</v>
      </c>
      <c r="BD23" s="1034">
        <f t="shared" si="81"/>
        <v>14696.394559934162</v>
      </c>
      <c r="BE23" s="1034">
        <f t="shared" si="81"/>
        <v>14696.394559934162</v>
      </c>
      <c r="BF23" s="1034">
        <f t="shared" si="81"/>
        <v>29392.789119868325</v>
      </c>
      <c r="BG23" s="1034">
        <f t="shared" si="81"/>
        <v>14696.394559934162</v>
      </c>
      <c r="BH23" s="1034">
        <f t="shared" si="81"/>
        <v>14696.394559934162</v>
      </c>
      <c r="BI23" s="1043">
        <f t="shared" si="81"/>
        <v>202320.36510842695</v>
      </c>
      <c r="BJ23" s="1045">
        <f t="shared" ref="BJ23:CV23" si="82">BJ21*$D23</f>
        <v>15107.893607612321</v>
      </c>
      <c r="BK23" s="1045">
        <f t="shared" si="82"/>
        <v>15107.893607612321</v>
      </c>
      <c r="BL23" s="1045">
        <f t="shared" si="82"/>
        <v>15107.893607612321</v>
      </c>
      <c r="BM23" s="1045">
        <f t="shared" si="82"/>
        <v>15107.893607612321</v>
      </c>
      <c r="BN23" s="1045">
        <f t="shared" si="82"/>
        <v>30215.787215224642</v>
      </c>
      <c r="BO23" s="1045">
        <f t="shared" si="82"/>
        <v>15107.893607612321</v>
      </c>
      <c r="BP23" s="1045">
        <f t="shared" si="82"/>
        <v>15107.893607612321</v>
      </c>
      <c r="BQ23" s="1045">
        <f t="shared" si="82"/>
        <v>15107.893607612321</v>
      </c>
      <c r="BR23" s="1045">
        <f t="shared" si="82"/>
        <v>15107.893607612321</v>
      </c>
      <c r="BS23" s="1045">
        <f t="shared" si="82"/>
        <v>30215.787215224642</v>
      </c>
      <c r="BT23" s="1045">
        <f t="shared" si="82"/>
        <v>15107.893607612321</v>
      </c>
      <c r="BU23" s="1045">
        <f t="shared" si="82"/>
        <v>15107.893607612321</v>
      </c>
      <c r="BV23" s="1043">
        <f t="shared" si="82"/>
        <v>211510.51050657252</v>
      </c>
      <c r="BW23" s="1045">
        <f t="shared" si="82"/>
        <v>16048.611782912982</v>
      </c>
      <c r="BX23" s="1045">
        <f t="shared" si="82"/>
        <v>16048.611782912982</v>
      </c>
      <c r="BY23" s="1045">
        <f t="shared" si="82"/>
        <v>16048.611782912982</v>
      </c>
      <c r="BZ23" s="1045">
        <f t="shared" si="82"/>
        <v>16048.611782912982</v>
      </c>
      <c r="CA23" s="1045">
        <f t="shared" si="82"/>
        <v>32097.223565825963</v>
      </c>
      <c r="CB23" s="1045">
        <f t="shared" si="82"/>
        <v>16048.611782912982</v>
      </c>
      <c r="CC23" s="1045">
        <f t="shared" si="82"/>
        <v>16048.611782912982</v>
      </c>
      <c r="CD23" s="1045">
        <f t="shared" si="82"/>
        <v>16048.611782912982</v>
      </c>
      <c r="CE23" s="1045">
        <f t="shared" si="82"/>
        <v>16048.611782912982</v>
      </c>
      <c r="CF23" s="1045">
        <f t="shared" si="82"/>
        <v>32097.223565825963</v>
      </c>
      <c r="CG23" s="1045">
        <f t="shared" si="82"/>
        <v>16048.611782912982</v>
      </c>
      <c r="CH23" s="1045">
        <f t="shared" si="82"/>
        <v>16048.611782912982</v>
      </c>
      <c r="CI23" s="1043">
        <f t="shared" si="82"/>
        <v>224680.56496078175</v>
      </c>
      <c r="CJ23" s="1045">
        <f t="shared" si="82"/>
        <v>16497.972912834546</v>
      </c>
      <c r="CK23" s="1045">
        <f t="shared" si="82"/>
        <v>16497.972912834546</v>
      </c>
      <c r="CL23" s="1045">
        <f t="shared" si="82"/>
        <v>16497.972912834546</v>
      </c>
      <c r="CM23" s="1045">
        <f t="shared" si="82"/>
        <v>16497.972912834546</v>
      </c>
      <c r="CN23" s="1045">
        <f t="shared" si="82"/>
        <v>32995.945825669092</v>
      </c>
      <c r="CO23" s="1045">
        <f t="shared" si="82"/>
        <v>16497.972912834546</v>
      </c>
      <c r="CP23" s="1045">
        <f t="shared" si="82"/>
        <v>16497.972912834546</v>
      </c>
      <c r="CQ23" s="1045">
        <f t="shared" si="82"/>
        <v>16497.972912834546</v>
      </c>
      <c r="CR23" s="1045">
        <f t="shared" si="82"/>
        <v>16497.972912834546</v>
      </c>
      <c r="CS23" s="1045">
        <f t="shared" si="82"/>
        <v>32995.945825669092</v>
      </c>
      <c r="CT23" s="1045">
        <f t="shared" si="82"/>
        <v>16497.972912834546</v>
      </c>
      <c r="CU23" s="1045">
        <f t="shared" si="82"/>
        <v>16497.972912834546</v>
      </c>
      <c r="CV23" s="1043">
        <f t="shared" si="82"/>
        <v>230971.62077968364</v>
      </c>
      <c r="CW23" s="1029"/>
    </row>
    <row r="24" spans="1:101" ht="13" x14ac:dyDescent="0.3">
      <c r="A24" s="723" t="s">
        <v>518</v>
      </c>
      <c r="B24" s="721"/>
      <c r="C24" s="721"/>
      <c r="D24" s="750">
        <v>0.28000000000000003</v>
      </c>
      <c r="E24" s="721"/>
      <c r="F24" s="751"/>
      <c r="G24" s="721"/>
      <c r="H24" s="721"/>
      <c r="I24" s="721"/>
      <c r="J24" s="721"/>
      <c r="K24" s="721"/>
      <c r="L24" s="721"/>
      <c r="M24" s="721"/>
      <c r="N24" s="721"/>
      <c r="O24" s="721"/>
      <c r="P24" s="721"/>
      <c r="Q24" s="721"/>
      <c r="R24" s="721"/>
      <c r="S24" s="752"/>
      <c r="T24" s="753"/>
      <c r="U24" s="754">
        <f t="shared" ref="U24:AF24" si="83">U21*$D24</f>
        <v>2987.9939999999883</v>
      </c>
      <c r="V24" s="754">
        <f t="shared" si="83"/>
        <v>2987.9939999999883</v>
      </c>
      <c r="W24" s="754">
        <f t="shared" si="83"/>
        <v>2987.9939999999883</v>
      </c>
      <c r="X24" s="754">
        <f t="shared" si="83"/>
        <v>2987.9939999999883</v>
      </c>
      <c r="Y24" s="754">
        <f t="shared" si="83"/>
        <v>5975.9880000000048</v>
      </c>
      <c r="Z24" s="754">
        <f t="shared" si="83"/>
        <v>3834.6071999999967</v>
      </c>
      <c r="AA24" s="754">
        <f t="shared" si="83"/>
        <v>3834.6071999999967</v>
      </c>
      <c r="AB24" s="754">
        <f t="shared" si="83"/>
        <v>4375.0087999999923</v>
      </c>
      <c r="AC24" s="754">
        <f t="shared" si="83"/>
        <v>6028.5879999999925</v>
      </c>
      <c r="AD24" s="754">
        <f t="shared" si="83"/>
        <v>10413.449233333329</v>
      </c>
      <c r="AE24" s="754">
        <f t="shared" si="83"/>
        <v>6028.5879999999925</v>
      </c>
      <c r="AF24" s="754">
        <f t="shared" si="83"/>
        <v>5192.4883999999929</v>
      </c>
      <c r="AG24" s="755"/>
      <c r="AH24" s="756"/>
      <c r="AI24" s="1034">
        <f t="shared" ref="AI24:AU24" si="84">AI21*$D24</f>
        <v>5503.8405171999921</v>
      </c>
      <c r="AJ24" s="1034">
        <f t="shared" si="84"/>
        <v>5503.8405171999921</v>
      </c>
      <c r="AK24" s="1034">
        <f t="shared" si="84"/>
        <v>6483.8405171999921</v>
      </c>
      <c r="AL24" s="1034">
        <f t="shared" si="84"/>
        <v>5503.8405171999921</v>
      </c>
      <c r="AM24" s="1034">
        <f t="shared" si="84"/>
        <v>10727.681034399984</v>
      </c>
      <c r="AN24" s="1034">
        <f t="shared" si="84"/>
        <v>5363.8405171999921</v>
      </c>
      <c r="AO24" s="1034">
        <f t="shared" si="84"/>
        <v>5363.8405171999921</v>
      </c>
      <c r="AP24" s="1034">
        <f t="shared" si="84"/>
        <v>5363.8405171999921</v>
      </c>
      <c r="AQ24" s="1034">
        <f t="shared" si="84"/>
        <v>5363.8405171999921</v>
      </c>
      <c r="AR24" s="1034">
        <f t="shared" si="84"/>
        <v>10727.681034399984</v>
      </c>
      <c r="AS24" s="1034">
        <f t="shared" si="84"/>
        <v>5363.8405171999921</v>
      </c>
      <c r="AT24" s="1034">
        <f t="shared" si="84"/>
        <v>5363.8405171999921</v>
      </c>
      <c r="AU24" s="1034">
        <f t="shared" si="84"/>
        <v>76633.767240799876</v>
      </c>
      <c r="AV24" s="756"/>
      <c r="AW24" s="1034">
        <f t="shared" ref="AW24:BI24" si="85">AW21*$D24</f>
        <v>5524.7557327159911</v>
      </c>
      <c r="AX24" s="1034">
        <f t="shared" si="85"/>
        <v>5524.7557327159911</v>
      </c>
      <c r="AY24" s="1034">
        <f t="shared" si="85"/>
        <v>5524.7557327159911</v>
      </c>
      <c r="AZ24" s="1034">
        <f t="shared" si="85"/>
        <v>5524.7557327159911</v>
      </c>
      <c r="BA24" s="1034">
        <f t="shared" si="85"/>
        <v>11049.511465431982</v>
      </c>
      <c r="BB24" s="1034">
        <f t="shared" si="85"/>
        <v>5524.7557327159911</v>
      </c>
      <c r="BC24" s="1034">
        <f t="shared" si="85"/>
        <v>5715.2645510855082</v>
      </c>
      <c r="BD24" s="1034">
        <f t="shared" si="85"/>
        <v>5715.2645510855082</v>
      </c>
      <c r="BE24" s="1034">
        <f t="shared" si="85"/>
        <v>5715.2645510855082</v>
      </c>
      <c r="BF24" s="1034">
        <f t="shared" si="85"/>
        <v>11430.529102171016</v>
      </c>
      <c r="BG24" s="1034">
        <f t="shared" si="85"/>
        <v>5715.2645510855082</v>
      </c>
      <c r="BH24" s="1034">
        <f t="shared" si="85"/>
        <v>5715.2645510855082</v>
      </c>
      <c r="BI24" s="1043">
        <f t="shared" si="85"/>
        <v>78680.141986610484</v>
      </c>
      <c r="BJ24" s="1045">
        <f t="shared" ref="BJ24:CV24" si="86">BJ21*$D24</f>
        <v>5875.2919585159034</v>
      </c>
      <c r="BK24" s="1045">
        <f t="shared" si="86"/>
        <v>5875.2919585159034</v>
      </c>
      <c r="BL24" s="1045">
        <f t="shared" si="86"/>
        <v>5875.2919585159034</v>
      </c>
      <c r="BM24" s="1045">
        <f t="shared" si="86"/>
        <v>5875.2919585159034</v>
      </c>
      <c r="BN24" s="1045">
        <f t="shared" si="86"/>
        <v>11750.583917031807</v>
      </c>
      <c r="BO24" s="1045">
        <f t="shared" si="86"/>
        <v>5875.2919585159034</v>
      </c>
      <c r="BP24" s="1045">
        <f t="shared" si="86"/>
        <v>5875.2919585159034</v>
      </c>
      <c r="BQ24" s="1045">
        <f t="shared" si="86"/>
        <v>5875.2919585159034</v>
      </c>
      <c r="BR24" s="1045">
        <f t="shared" si="86"/>
        <v>5875.2919585159034</v>
      </c>
      <c r="BS24" s="1045">
        <f t="shared" si="86"/>
        <v>11750.583917031807</v>
      </c>
      <c r="BT24" s="1045">
        <f t="shared" si="86"/>
        <v>5875.2919585159034</v>
      </c>
      <c r="BU24" s="1045">
        <f t="shared" si="86"/>
        <v>5875.2919585159034</v>
      </c>
      <c r="BV24" s="1043">
        <f t="shared" si="86"/>
        <v>82254.087419222662</v>
      </c>
      <c r="BW24" s="1045">
        <f t="shared" si="86"/>
        <v>6241.1268044661601</v>
      </c>
      <c r="BX24" s="1045">
        <f t="shared" si="86"/>
        <v>6241.1268044661601</v>
      </c>
      <c r="BY24" s="1045">
        <f t="shared" si="86"/>
        <v>6241.1268044661601</v>
      </c>
      <c r="BZ24" s="1045">
        <f t="shared" si="86"/>
        <v>6241.1268044661601</v>
      </c>
      <c r="CA24" s="1045">
        <f t="shared" si="86"/>
        <v>12482.25360893232</v>
      </c>
      <c r="CB24" s="1045">
        <f t="shared" si="86"/>
        <v>6241.1268044661601</v>
      </c>
      <c r="CC24" s="1045">
        <f t="shared" si="86"/>
        <v>6241.1268044661601</v>
      </c>
      <c r="CD24" s="1045">
        <f t="shared" si="86"/>
        <v>6241.1268044661601</v>
      </c>
      <c r="CE24" s="1045">
        <f t="shared" si="86"/>
        <v>6241.1268044661601</v>
      </c>
      <c r="CF24" s="1045">
        <f t="shared" si="86"/>
        <v>12482.25360893232</v>
      </c>
      <c r="CG24" s="1045">
        <f t="shared" si="86"/>
        <v>6241.1268044661601</v>
      </c>
      <c r="CH24" s="1045">
        <f t="shared" si="86"/>
        <v>6241.1268044661601</v>
      </c>
      <c r="CI24" s="1043">
        <f t="shared" si="86"/>
        <v>87375.775262526251</v>
      </c>
      <c r="CJ24" s="1045">
        <f t="shared" si="86"/>
        <v>6415.8783549912141</v>
      </c>
      <c r="CK24" s="1045">
        <f t="shared" si="86"/>
        <v>6415.8783549912141</v>
      </c>
      <c r="CL24" s="1045">
        <f t="shared" si="86"/>
        <v>6415.8783549912141</v>
      </c>
      <c r="CM24" s="1045">
        <f t="shared" si="86"/>
        <v>6415.8783549912141</v>
      </c>
      <c r="CN24" s="1045">
        <f t="shared" si="86"/>
        <v>12831.756709982428</v>
      </c>
      <c r="CO24" s="1045">
        <f t="shared" si="86"/>
        <v>6415.8783549912141</v>
      </c>
      <c r="CP24" s="1045">
        <f t="shared" si="86"/>
        <v>6415.8783549912141</v>
      </c>
      <c r="CQ24" s="1045">
        <f t="shared" si="86"/>
        <v>6415.8783549912141</v>
      </c>
      <c r="CR24" s="1045">
        <f t="shared" si="86"/>
        <v>6415.8783549912141</v>
      </c>
      <c r="CS24" s="1045">
        <f t="shared" si="86"/>
        <v>12831.756709982428</v>
      </c>
      <c r="CT24" s="1045">
        <f t="shared" si="86"/>
        <v>6415.8783549912141</v>
      </c>
      <c r="CU24" s="1045">
        <f t="shared" si="86"/>
        <v>6415.8783549912141</v>
      </c>
      <c r="CV24" s="1043">
        <f t="shared" si="86"/>
        <v>89822.296969876974</v>
      </c>
      <c r="CW24" s="1029"/>
    </row>
    <row r="25" spans="1:101" ht="13" x14ac:dyDescent="0.3">
      <c r="F25" s="717"/>
      <c r="S25" s="718"/>
      <c r="T25" s="719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719"/>
      <c r="AH25" s="720"/>
      <c r="AV25" s="720"/>
    </row>
    <row r="26" spans="1:101" ht="13.5" customHeight="1" x14ac:dyDescent="0.3">
      <c r="A26" s="757" t="s">
        <v>753</v>
      </c>
      <c r="B26" s="758" t="s">
        <v>752</v>
      </c>
      <c r="C26" s="757"/>
      <c r="D26" s="759">
        <v>45717</v>
      </c>
      <c r="E26" s="757"/>
      <c r="F26" s="757"/>
      <c r="G26" s="757"/>
      <c r="H26" s="757"/>
      <c r="I26" s="757"/>
      <c r="J26" s="757"/>
      <c r="K26" s="757"/>
      <c r="L26" s="757"/>
      <c r="M26" s="757"/>
      <c r="N26" s="757"/>
      <c r="O26" s="757"/>
      <c r="P26" s="757"/>
      <c r="Q26" s="757"/>
      <c r="R26" s="757"/>
      <c r="S26" s="757"/>
      <c r="T26" s="757"/>
      <c r="U26" s="746">
        <v>12109.2157142857</v>
      </c>
      <c r="V26" s="746">
        <v>12109.2157142857</v>
      </c>
      <c r="W26" s="746">
        <v>12109.2157142857</v>
      </c>
      <c r="X26" s="746">
        <v>14150.59</v>
      </c>
      <c r="Y26" s="746">
        <v>26770.149285714298</v>
      </c>
      <c r="Z26" s="746">
        <v>19263.5057142857</v>
      </c>
      <c r="AA26" s="746">
        <v>19263.5057142857</v>
      </c>
      <c r="AB26" s="746">
        <v>19263.5057142857</v>
      </c>
      <c r="AC26" s="746">
        <v>19263.5057142857</v>
      </c>
      <c r="AD26" s="746">
        <v>38527.011428571401</v>
      </c>
      <c r="AE26" s="746">
        <v>19263.5057142857</v>
      </c>
      <c r="AF26" s="746">
        <v>19263.5057142857</v>
      </c>
      <c r="AG26" s="746">
        <f>SUM(U26:AF26)</f>
        <v>231356.43214285703</v>
      </c>
      <c r="AH26" s="760"/>
      <c r="AI26" s="721"/>
      <c r="AJ26" s="721"/>
      <c r="AK26" s="721"/>
      <c r="AL26" s="721"/>
      <c r="AM26" s="721"/>
      <c r="AN26" s="721"/>
      <c r="AO26" s="721"/>
      <c r="AP26" s="721"/>
      <c r="AQ26" s="721"/>
      <c r="AR26" s="721"/>
      <c r="AS26" s="721"/>
      <c r="AT26" s="721"/>
      <c r="AU26" s="721"/>
      <c r="AV26" s="760"/>
      <c r="AW26" s="721"/>
      <c r="AX26" s="721"/>
      <c r="AY26" s="721"/>
      <c r="AZ26" s="721"/>
      <c r="BA26" s="721"/>
      <c r="BB26" s="721"/>
      <c r="BC26" s="721"/>
      <c r="BD26" s="721"/>
      <c r="BE26" s="721"/>
      <c r="BF26" s="721"/>
      <c r="BG26" s="721"/>
      <c r="BH26" s="721"/>
      <c r="BI26" s="721"/>
      <c r="BJ26" s="721"/>
      <c r="BK26" s="721"/>
      <c r="BL26" s="721"/>
      <c r="BM26" s="721"/>
      <c r="BN26" s="721"/>
      <c r="BO26" s="721"/>
      <c r="BP26" s="721"/>
      <c r="BQ26" s="721"/>
      <c r="BR26" s="721"/>
      <c r="BS26" s="721"/>
      <c r="BT26" s="721"/>
      <c r="BU26" s="721"/>
      <c r="BV26" s="721"/>
      <c r="BW26" s="721"/>
      <c r="BX26" s="721"/>
      <c r="BY26" s="721"/>
      <c r="BZ26" s="721"/>
      <c r="CA26" s="721"/>
      <c r="CB26" s="721"/>
      <c r="CC26" s="721"/>
      <c r="CD26" s="721"/>
      <c r="CE26" s="721"/>
      <c r="CF26" s="721"/>
      <c r="CG26" s="721"/>
      <c r="CH26" s="721"/>
      <c r="CI26" s="721"/>
      <c r="CJ26" s="721"/>
      <c r="CK26" s="721"/>
      <c r="CL26" s="721"/>
      <c r="CM26" s="721"/>
      <c r="CN26" s="721"/>
      <c r="CO26" s="721"/>
      <c r="CP26" s="721"/>
      <c r="CQ26" s="721"/>
      <c r="CR26" s="721"/>
      <c r="CS26" s="721"/>
      <c r="CT26" s="721"/>
      <c r="CU26" s="721"/>
      <c r="CV26" s="721"/>
    </row>
    <row r="27" spans="1:101" ht="13.5" customHeight="1" x14ac:dyDescent="0.3">
      <c r="A27" s="761" t="s">
        <v>747</v>
      </c>
      <c r="B27" s="761"/>
      <c r="C27" s="761"/>
      <c r="D27" s="761"/>
      <c r="E27" s="761"/>
      <c r="F27" s="761"/>
      <c r="G27" s="761"/>
      <c r="H27" s="761"/>
      <c r="I27" s="761"/>
      <c r="J27" s="761"/>
      <c r="K27" s="761"/>
      <c r="L27" s="761"/>
      <c r="M27" s="761">
        <v>1.8</v>
      </c>
      <c r="N27" s="761">
        <v>2.5</v>
      </c>
      <c r="O27" s="761">
        <v>1.9</v>
      </c>
      <c r="P27" s="761">
        <v>1.9</v>
      </c>
      <c r="Q27" s="761">
        <v>1.9</v>
      </c>
      <c r="R27" s="761">
        <v>1.9</v>
      </c>
      <c r="S27" s="761"/>
      <c r="T27" s="761"/>
      <c r="U27" s="749">
        <v>2.2999999999999998</v>
      </c>
      <c r="V27" s="749">
        <v>2.2999999999999998</v>
      </c>
      <c r="W27" s="749">
        <v>2.2999999999999998</v>
      </c>
      <c r="X27" s="749">
        <v>2.9</v>
      </c>
      <c r="Y27" s="749">
        <v>3.5</v>
      </c>
      <c r="Z27" s="749">
        <v>3.9</v>
      </c>
      <c r="AA27" s="749">
        <v>3.9</v>
      </c>
      <c r="AB27" s="749">
        <v>3.9</v>
      </c>
      <c r="AC27" s="749">
        <v>3.9</v>
      </c>
      <c r="AD27" s="749">
        <v>3.9</v>
      </c>
      <c r="AE27" s="749">
        <v>3.9</v>
      </c>
      <c r="AF27" s="749">
        <v>3.9</v>
      </c>
      <c r="AG27" s="761"/>
      <c r="AH27" s="762"/>
      <c r="AV27" s="762"/>
    </row>
    <row r="28" spans="1:101" ht="13.5" customHeight="1" x14ac:dyDescent="0.3"/>
    <row r="29" spans="1:101" ht="13.5" customHeight="1" x14ac:dyDescent="0.3"/>
    <row r="30" spans="1:101" ht="13.5" customHeight="1" x14ac:dyDescent="0.3"/>
    <row r="31" spans="1:101" ht="13.5" customHeight="1" x14ac:dyDescent="0.3"/>
    <row r="32" spans="1:101" ht="13.5" customHeight="1" x14ac:dyDescent="0.3"/>
    <row r="33" ht="13.5" customHeight="1" x14ac:dyDescent="0.3"/>
    <row r="34" ht="13.5" customHeight="1" x14ac:dyDescent="0.3"/>
  </sheetData>
  <mergeCells count="4">
    <mergeCell ref="G1:R1"/>
    <mergeCell ref="U1:AF1"/>
    <mergeCell ref="B3:B4"/>
    <mergeCell ref="C3:C4"/>
  </mergeCells>
  <pageMargins left="0.78749999999999998" right="0.78749999999999998" top="1.05277777777778" bottom="1.05277777777778" header="0.78749999999999998" footer="0.78749999999999998"/>
  <pageSetup paperSize="9" scale="61" orientation="portrait" horizontalDpi="300" verticalDpi="300" r:id="rId1"/>
  <headerFooter>
    <oddHeader>&amp;C&amp;"Times New Roman,Standard"&amp;12&amp;Kffffff&amp;A</oddHeader>
    <oddFooter>&amp;C&amp;"Times New Roman,Standard"&amp;12&amp;KffffffPage &amp;P</oddFooter>
  </headerFooter>
  <colBreaks count="2" manualBreakCount="2">
    <brk id="19" max="1048575" man="1"/>
    <brk id="3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5"/>
  <sheetViews>
    <sheetView view="pageBreakPreview" topLeftCell="A52" zoomScaleNormal="100" workbookViewId="0">
      <selection activeCell="F56" sqref="F56"/>
    </sheetView>
  </sheetViews>
  <sheetFormatPr baseColWidth="10" defaultColWidth="10.54296875" defaultRowHeight="14.25" customHeight="1" x14ac:dyDescent="0.35"/>
  <cols>
    <col min="1" max="1" width="3.1796875" customWidth="1"/>
    <col min="2" max="2" width="4.453125" customWidth="1"/>
    <col min="3" max="3" width="38.7265625" customWidth="1"/>
    <col min="4" max="9" width="10.7265625" customWidth="1"/>
    <col min="10" max="10" width="11.54296875" hidden="1" customWidth="1"/>
    <col min="11" max="11" width="46.7265625" hidden="1" customWidth="1"/>
    <col min="12" max="14" width="11.54296875" hidden="1" customWidth="1"/>
  </cols>
  <sheetData>
    <row r="1" spans="1:14" ht="14.25" customHeight="1" x14ac:dyDescent="0.35">
      <c r="J1" s="763"/>
      <c r="K1" s="764" t="s">
        <v>754</v>
      </c>
      <c r="L1" s="765" t="s">
        <v>755</v>
      </c>
    </row>
    <row r="2" spans="1:14" ht="14.25" customHeight="1" x14ac:dyDescent="0.35">
      <c r="B2" t="s">
        <v>756</v>
      </c>
      <c r="D2" s="670">
        <v>2023</v>
      </c>
      <c r="E2" s="670">
        <v>2024</v>
      </c>
      <c r="F2" s="670">
        <v>2025</v>
      </c>
      <c r="G2" s="670">
        <v>2026</v>
      </c>
      <c r="H2" s="670">
        <v>2027</v>
      </c>
      <c r="I2" s="670">
        <v>2028</v>
      </c>
      <c r="J2" s="766"/>
      <c r="K2" s="766"/>
      <c r="L2" s="765"/>
    </row>
    <row r="3" spans="1:14" ht="14.25" customHeight="1" x14ac:dyDescent="0.35">
      <c r="B3" t="s">
        <v>649</v>
      </c>
      <c r="D3" s="4">
        <v>45322</v>
      </c>
      <c r="E3" s="4">
        <v>45688</v>
      </c>
      <c r="F3" s="4">
        <v>46053</v>
      </c>
      <c r="G3" s="4">
        <v>46418</v>
      </c>
      <c r="H3" s="4">
        <v>46783</v>
      </c>
      <c r="I3" s="4">
        <v>47149</v>
      </c>
      <c r="J3" s="766"/>
      <c r="K3" s="766" t="s">
        <v>757</v>
      </c>
      <c r="L3" s="765"/>
    </row>
    <row r="4" spans="1:14" ht="14.25" customHeight="1" x14ac:dyDescent="0.35">
      <c r="J4" s="766"/>
      <c r="K4" s="766"/>
      <c r="L4" s="765"/>
    </row>
    <row r="5" spans="1:14" ht="14.25" customHeight="1" x14ac:dyDescent="0.35">
      <c r="J5" s="766"/>
      <c r="K5" s="766"/>
      <c r="L5" s="765"/>
    </row>
    <row r="6" spans="1:14" ht="14.25" customHeight="1" x14ac:dyDescent="0.35">
      <c r="B6" s="764" t="s">
        <v>758</v>
      </c>
      <c r="D6">
        <v>2023</v>
      </c>
      <c r="E6">
        <v>2024</v>
      </c>
      <c r="F6">
        <v>2025</v>
      </c>
      <c r="G6">
        <v>2026</v>
      </c>
      <c r="H6">
        <v>2027</v>
      </c>
      <c r="I6">
        <v>2028</v>
      </c>
      <c r="J6" s="766"/>
      <c r="K6" s="766"/>
      <c r="L6" s="765"/>
    </row>
    <row r="7" spans="1:14" ht="14.25" customHeight="1" x14ac:dyDescent="0.35">
      <c r="J7" s="766"/>
      <c r="K7" s="766"/>
      <c r="L7" s="767" t="s">
        <v>759</v>
      </c>
    </row>
    <row r="8" spans="1:14" ht="14.25" customHeight="1" x14ac:dyDescent="0.35">
      <c r="J8" s="766"/>
      <c r="K8" s="766"/>
      <c r="L8" s="765"/>
    </row>
    <row r="9" spans="1:14" ht="14.25" customHeight="1" x14ac:dyDescent="0.35">
      <c r="J9" s="766"/>
      <c r="K9" s="766"/>
      <c r="L9" s="767" t="s">
        <v>759</v>
      </c>
    </row>
    <row r="10" spans="1:14" ht="14.25" customHeight="1" x14ac:dyDescent="0.35">
      <c r="A10" s="768" t="s">
        <v>760</v>
      </c>
      <c r="B10" s="763" t="s">
        <v>761</v>
      </c>
      <c r="J10" s="768" t="s">
        <v>760</v>
      </c>
      <c r="K10" s="763" t="s">
        <v>761</v>
      </c>
      <c r="L10" s="765"/>
    </row>
    <row r="11" spans="1:14" ht="14.25" customHeight="1" x14ac:dyDescent="0.35">
      <c r="A11" s="768"/>
      <c r="B11" s="763"/>
      <c r="J11" s="768"/>
      <c r="K11" s="763"/>
      <c r="L11" s="765"/>
    </row>
    <row r="12" spans="1:14" ht="14.25" customHeight="1" x14ac:dyDescent="0.35">
      <c r="C12" t="s">
        <v>762</v>
      </c>
      <c r="D12" s="769">
        <f>+GV!C55</f>
        <v>-30676.560000000005</v>
      </c>
      <c r="E12" s="769">
        <f>+GV!D55</f>
        <v>-111688.51000000001</v>
      </c>
      <c r="F12" s="769">
        <f>+GV!E55</f>
        <v>-311028.46040512651</v>
      </c>
      <c r="G12" s="769">
        <f>+GV!F55</f>
        <v>-215875.16648368837</v>
      </c>
      <c r="H12" s="769">
        <f>+GV!G55</f>
        <v>-95454.89260438754</v>
      </c>
      <c r="I12" s="769">
        <f>+GV!H55</f>
        <v>2805.237947174166</v>
      </c>
      <c r="J12" s="766"/>
      <c r="K12" s="766"/>
      <c r="L12" s="765"/>
    </row>
    <row r="13" spans="1:14" ht="14.25" customHeight="1" x14ac:dyDescent="0.35">
      <c r="D13" s="769"/>
      <c r="E13" s="769"/>
      <c r="F13" s="769"/>
      <c r="G13" s="769"/>
      <c r="H13" s="769"/>
      <c r="I13" s="769"/>
      <c r="J13" s="766"/>
      <c r="K13" s="766" t="s">
        <v>763</v>
      </c>
      <c r="L13" s="765">
        <v>0</v>
      </c>
    </row>
    <row r="14" spans="1:14" ht="14.25" customHeight="1" x14ac:dyDescent="0.35">
      <c r="B14" t="s">
        <v>764</v>
      </c>
      <c r="D14" s="769"/>
      <c r="E14" s="769"/>
      <c r="F14" s="769"/>
      <c r="G14" s="769"/>
      <c r="H14" s="769"/>
      <c r="I14" s="769"/>
      <c r="J14" s="766"/>
      <c r="K14" s="766" t="s">
        <v>765</v>
      </c>
      <c r="L14" s="765">
        <v>0</v>
      </c>
    </row>
    <row r="15" spans="1:14" ht="14.25" customHeight="1" x14ac:dyDescent="0.35">
      <c r="C15" t="s">
        <v>303</v>
      </c>
      <c r="D15" s="769">
        <f>+GV!C22</f>
        <v>0</v>
      </c>
      <c r="E15" s="769">
        <f>+GV!D22</f>
        <v>1460.5</v>
      </c>
      <c r="F15" s="769">
        <f>+GV!E22</f>
        <v>44099.073999999993</v>
      </c>
      <c r="G15" s="769">
        <f>+GV!F22</f>
        <v>85802.914666666664</v>
      </c>
      <c r="H15" s="769">
        <f>+GV!G22</f>
        <v>85802.914666666664</v>
      </c>
      <c r="I15" s="769">
        <f>+GV!H22</f>
        <v>85802.914666666664</v>
      </c>
      <c r="J15" s="769">
        <f>+GV!J22</f>
        <v>76137.914666666664</v>
      </c>
      <c r="K15" s="769">
        <f>+GV!K22</f>
        <v>0</v>
      </c>
      <c r="L15" s="769">
        <f>+GV!L22</f>
        <v>0</v>
      </c>
      <c r="M15" s="769">
        <f>+GV!M22</f>
        <v>0</v>
      </c>
      <c r="N15" s="769" t="str">
        <f>+GV!N22</f>
        <v xml:space="preserve">                                                                                                                                                         </v>
      </c>
    </row>
    <row r="16" spans="1:14" ht="14.25" customHeight="1" x14ac:dyDescent="0.35">
      <c r="D16" s="769"/>
      <c r="E16" s="769"/>
      <c r="F16" s="769"/>
      <c r="G16" s="769"/>
      <c r="H16" s="769"/>
      <c r="I16" s="769"/>
      <c r="J16" s="766"/>
      <c r="K16" s="766" t="s">
        <v>766</v>
      </c>
      <c r="L16" s="765">
        <v>0</v>
      </c>
    </row>
    <row r="17" spans="2:14" ht="14.25" customHeight="1" x14ac:dyDescent="0.35">
      <c r="B17" t="s">
        <v>767</v>
      </c>
      <c r="D17" s="769"/>
      <c r="E17" s="769"/>
      <c r="F17" s="769"/>
      <c r="G17" s="769"/>
      <c r="H17" s="769"/>
      <c r="I17" s="769"/>
      <c r="J17" s="766"/>
      <c r="K17" s="766" t="s">
        <v>768</v>
      </c>
      <c r="L17" s="765"/>
    </row>
    <row r="18" spans="2:14" ht="14.25" customHeight="1" x14ac:dyDescent="0.35">
      <c r="J18" s="766"/>
      <c r="K18" s="770" t="s">
        <v>769</v>
      </c>
      <c r="L18" s="771" t="e">
        <f>#REF!</f>
        <v>#REF!</v>
      </c>
    </row>
    <row r="19" spans="2:14" ht="14.25" customHeight="1" x14ac:dyDescent="0.35">
      <c r="C19" s="763" t="s">
        <v>770</v>
      </c>
      <c r="D19" s="772">
        <f t="shared" ref="D19:I19" si="0">SUBTOTAL(9,D12:D18)</f>
        <v>-30676.560000000005</v>
      </c>
      <c r="E19" s="772">
        <f t="shared" si="0"/>
        <v>-110228.01000000001</v>
      </c>
      <c r="F19" s="772">
        <f t="shared" si="0"/>
        <v>-266929.38640512654</v>
      </c>
      <c r="G19" s="772">
        <f t="shared" si="0"/>
        <v>-130072.25181702171</v>
      </c>
      <c r="H19" s="772">
        <f t="shared" si="0"/>
        <v>-9651.9779377208761</v>
      </c>
      <c r="I19" s="772">
        <f t="shared" si="0"/>
        <v>88608.152613840823</v>
      </c>
      <c r="J19" s="766"/>
      <c r="K19" s="763" t="s">
        <v>770</v>
      </c>
      <c r="L19" s="772" t="e">
        <f>SUBTOTAL(9,L13:L18)</f>
        <v>#REF!</v>
      </c>
    </row>
    <row r="20" spans="2:14" ht="14.25" customHeight="1" x14ac:dyDescent="0.35">
      <c r="J20" s="766"/>
      <c r="K20" s="763"/>
      <c r="L20" s="772"/>
    </row>
    <row r="21" spans="2:14" ht="14.25" customHeight="1" x14ac:dyDescent="0.35">
      <c r="B21" t="s">
        <v>771</v>
      </c>
      <c r="J21" s="766"/>
      <c r="K21" s="766" t="s">
        <v>772</v>
      </c>
      <c r="L21" s="766"/>
    </row>
    <row r="22" spans="2:14" ht="14.25" customHeight="1" x14ac:dyDescent="0.35">
      <c r="C22" s="640" t="s">
        <v>614</v>
      </c>
      <c r="D22" s="769"/>
      <c r="E22" s="769">
        <f>-Bil!F15+Bil!D15</f>
        <v>0</v>
      </c>
      <c r="F22" s="769">
        <f>-Bil!G15+Bil!F15</f>
        <v>-107968.84952202717</v>
      </c>
      <c r="G22" s="769">
        <f>-Bil!H15+Bil!G15</f>
        <v>-5596.7020058563212</v>
      </c>
      <c r="H22" s="769">
        <f>-Bil!I15+Bil!H15</f>
        <v>-3455.3909458057315</v>
      </c>
      <c r="I22" s="769">
        <f>-Bil!J15+Bil!I15</f>
        <v>-1414.9848017490003</v>
      </c>
      <c r="J22" s="769">
        <f>-Bil!K15+Bil!J15</f>
        <v>-1981.8241768559092</v>
      </c>
      <c r="K22" s="769" t="e">
        <f>-Bil!#REF!+Bil!K15</f>
        <v>#REF!</v>
      </c>
      <c r="L22" s="769" t="e">
        <f>-Bil!#REF!+Bil!#REF!</f>
        <v>#REF!</v>
      </c>
      <c r="M22" s="769" t="e">
        <f>-Bil!L15+Bil!#REF!</f>
        <v>#REF!</v>
      </c>
      <c r="N22" s="769">
        <f>-Bil!M15+Bil!L15</f>
        <v>122442.3543298275</v>
      </c>
    </row>
    <row r="23" spans="2:14" ht="14.25" customHeight="1" x14ac:dyDescent="0.35">
      <c r="C23" s="640" t="s">
        <v>615</v>
      </c>
      <c r="D23" s="769">
        <f>-Bil!D16</f>
        <v>-3965.33</v>
      </c>
      <c r="E23" s="769">
        <f>-Bil!F16+Bil!D16</f>
        <v>-91874.67</v>
      </c>
      <c r="F23" s="769">
        <f>-Bil!G16+Bil!F16</f>
        <v>95840</v>
      </c>
      <c r="G23" s="769">
        <f>-Bil!H16+Bil!G16</f>
        <v>0</v>
      </c>
      <c r="H23" s="769">
        <f>-Bil!I16+Bil!H16</f>
        <v>0</v>
      </c>
      <c r="I23" s="769">
        <f>-Bil!J16+Bil!I16</f>
        <v>0</v>
      </c>
      <c r="J23" s="769">
        <f>-Bil!J16</f>
        <v>0</v>
      </c>
      <c r="K23" s="769">
        <f>-Bil!K16</f>
        <v>0</v>
      </c>
      <c r="L23" s="769" t="e">
        <f>-Bil!#REF!</f>
        <v>#REF!</v>
      </c>
      <c r="M23" s="769" t="e">
        <f>-Bil!#REF!</f>
        <v>#REF!</v>
      </c>
      <c r="N23" s="769">
        <f>-Bil!L16</f>
        <v>0</v>
      </c>
    </row>
    <row r="24" spans="2:14" ht="14.25" customHeight="1" x14ac:dyDescent="0.35">
      <c r="C24" s="640" t="s">
        <v>773</v>
      </c>
      <c r="D24" s="769">
        <f>-Bil!D17</f>
        <v>-21009.25</v>
      </c>
      <c r="E24" s="769">
        <f>-Bil!F17+Bil!D17</f>
        <v>-34850.47</v>
      </c>
      <c r="F24" s="769">
        <f>-Bil!G17+Bil!F17</f>
        <v>55859.72</v>
      </c>
      <c r="G24" s="769">
        <f>-Bil!H17+Bil!G17</f>
        <v>0</v>
      </c>
      <c r="H24" s="769">
        <f>-Bil!I17+Bil!H17</f>
        <v>0</v>
      </c>
      <c r="I24" s="769">
        <f>-Bil!J17+Bil!I17</f>
        <v>0</v>
      </c>
      <c r="J24" s="769">
        <f>-Bil!J17</f>
        <v>0</v>
      </c>
      <c r="K24" s="769">
        <f>-Bil!K17</f>
        <v>0</v>
      </c>
      <c r="L24" s="769" t="e">
        <f>-Bil!#REF!</f>
        <v>#REF!</v>
      </c>
      <c r="M24" s="769" t="e">
        <f>-Bil!#REF!</f>
        <v>#REF!</v>
      </c>
      <c r="N24" s="769">
        <f>-Bil!L17</f>
        <v>0</v>
      </c>
    </row>
    <row r="25" spans="2:14" ht="14.25" customHeight="1" x14ac:dyDescent="0.35">
      <c r="C25" s="640" t="s">
        <v>774</v>
      </c>
      <c r="D25" s="769">
        <f>-Bil!D22</f>
        <v>-6995.35</v>
      </c>
      <c r="E25" s="769">
        <f>-Bil!F22+Bil!D22</f>
        <v>4971.3500000000004</v>
      </c>
      <c r="F25" s="769">
        <f>-Bil!G22+Bil!F22</f>
        <v>2024</v>
      </c>
      <c r="G25" s="769">
        <f>-Bil!H22+Bil!G22</f>
        <v>0</v>
      </c>
      <c r="H25" s="769">
        <f>-Bil!I22+Bil!H22</f>
        <v>0</v>
      </c>
      <c r="I25" s="769">
        <f>-Bil!J22+Bil!I22</f>
        <v>0</v>
      </c>
      <c r="J25" s="769">
        <f>-Bil!K22+Bil!J22</f>
        <v>0</v>
      </c>
      <c r="K25" s="769" t="e">
        <f>-Bil!#REF!+Bil!K22</f>
        <v>#REF!</v>
      </c>
      <c r="L25" s="769" t="e">
        <f>-Bil!#REF!+Bil!#REF!</f>
        <v>#REF!</v>
      </c>
      <c r="M25" s="769" t="e">
        <f>-Bil!L22+Bil!#REF!</f>
        <v>#REF!</v>
      </c>
      <c r="N25" s="769">
        <f>-Bil!M22+Bil!L22</f>
        <v>0</v>
      </c>
    </row>
    <row r="26" spans="2:14" ht="14.25" customHeight="1" x14ac:dyDescent="0.35">
      <c r="C26" s="640"/>
      <c r="D26" s="6"/>
      <c r="J26" s="766"/>
      <c r="K26" s="766" t="s">
        <v>775</v>
      </c>
      <c r="L26" s="766"/>
    </row>
    <row r="27" spans="2:14" ht="14.25" customHeight="1" x14ac:dyDescent="0.35">
      <c r="B27" t="s">
        <v>776</v>
      </c>
      <c r="J27" s="766"/>
      <c r="K27" s="766" t="s">
        <v>777</v>
      </c>
      <c r="L27" s="765" t="e">
        <f>-#REF!</f>
        <v>#REF!</v>
      </c>
    </row>
    <row r="28" spans="2:14" ht="14.25" customHeight="1" x14ac:dyDescent="0.35">
      <c r="C28" s="640"/>
      <c r="J28" s="766"/>
      <c r="K28" s="766" t="s">
        <v>778</v>
      </c>
      <c r="L28" s="765" t="e">
        <f>#REF!</f>
        <v>#REF!</v>
      </c>
    </row>
    <row r="29" spans="2:14" ht="14.5" x14ac:dyDescent="0.35">
      <c r="C29" s="640" t="s">
        <v>634</v>
      </c>
      <c r="D29" s="769">
        <f>+Bil!D45</f>
        <v>1612.84</v>
      </c>
      <c r="E29" s="769">
        <f>-Bil!D45+Bil!F45</f>
        <v>26513.81</v>
      </c>
      <c r="F29" s="769">
        <f>-Bil!F45+Bil!G45</f>
        <v>-28126.65</v>
      </c>
      <c r="G29" s="769">
        <f>-Bil!G45+Bil!H45</f>
        <v>0</v>
      </c>
      <c r="H29" s="769">
        <f>-Bil!H45+Bil!I45</f>
        <v>0</v>
      </c>
      <c r="I29" s="769">
        <f>-Bil!I45+Bil!J45</f>
        <v>0</v>
      </c>
      <c r="J29" s="766"/>
      <c r="K29" s="766" t="s">
        <v>779</v>
      </c>
      <c r="L29" s="765" t="e">
        <f>#REF!</f>
        <v>#REF!</v>
      </c>
    </row>
    <row r="30" spans="2:14" ht="14.5" x14ac:dyDescent="0.35">
      <c r="C30" s="640" t="s">
        <v>635</v>
      </c>
      <c r="D30" s="769">
        <f>+Bil!D46</f>
        <v>0</v>
      </c>
      <c r="E30" s="769">
        <f>-Bil!D46+Bil!F46</f>
        <v>45230</v>
      </c>
      <c r="F30" s="769">
        <f>-Bil!F46+Bil!G46</f>
        <v>-67957.272727272721</v>
      </c>
      <c r="G30" s="769">
        <f>-Bil!G46+Bil!H46</f>
        <v>-4000</v>
      </c>
      <c r="H30" s="769">
        <f>-Bil!H46+Bil!I46</f>
        <v>0</v>
      </c>
      <c r="I30" s="769">
        <f>-Bil!I46+Bil!J46</f>
        <v>0</v>
      </c>
      <c r="J30" s="766"/>
      <c r="K30" s="766"/>
      <c r="L30" s="765"/>
    </row>
    <row r="31" spans="2:14" ht="14.5" x14ac:dyDescent="0.35">
      <c r="C31" s="640" t="s">
        <v>636</v>
      </c>
      <c r="D31" s="769">
        <f>+Bil!D47</f>
        <v>3983.04</v>
      </c>
      <c r="E31" s="769">
        <f>-Bil!D47+Bil!F47</f>
        <v>5389.94</v>
      </c>
      <c r="F31" s="769">
        <f>-Bil!F47+Bil!G47</f>
        <v>-21780.163207639896</v>
      </c>
      <c r="G31" s="769">
        <f>-Bil!G47+Bil!H47</f>
        <v>13249.753046032502</v>
      </c>
      <c r="H31" s="769">
        <f>-Bil!H47+Bil!I47</f>
        <v>1828.9095520340343</v>
      </c>
      <c r="I31" s="769">
        <f>-Bil!I47+Bil!J47</f>
        <v>4173.5135323048125</v>
      </c>
      <c r="J31" s="766"/>
      <c r="K31" s="766" t="s">
        <v>780</v>
      </c>
      <c r="L31" s="765" t="e">
        <f>#REF!</f>
        <v>#REF!</v>
      </c>
    </row>
    <row r="32" spans="2:14" ht="14.5" x14ac:dyDescent="0.35">
      <c r="C32" t="s">
        <v>632</v>
      </c>
      <c r="D32" s="769">
        <f>+Bil!D39</f>
        <v>2600</v>
      </c>
      <c r="E32" s="769">
        <f>-Bil!D39+Bil!F39</f>
        <v>18639.36</v>
      </c>
      <c r="F32" s="769">
        <f>-Bil!F39+Bil!G39</f>
        <v>-21239.360000000001</v>
      </c>
      <c r="G32" s="769">
        <f>-Bil!G39+Bil!H39</f>
        <v>0</v>
      </c>
      <c r="H32" s="769">
        <f>-Bil!H39+Bil!I39</f>
        <v>0</v>
      </c>
      <c r="I32" s="769">
        <f>-Bil!I39+Bil!J39</f>
        <v>0</v>
      </c>
      <c r="J32" s="766"/>
      <c r="K32" s="766" t="s">
        <v>781</v>
      </c>
      <c r="L32" s="765" t="e">
        <f>#REF!</f>
        <v>#REF!</v>
      </c>
    </row>
    <row r="33" spans="1:14" ht="14.5" x14ac:dyDescent="0.35">
      <c r="D33" s="769"/>
      <c r="E33" s="769"/>
      <c r="F33" s="769"/>
      <c r="G33" s="769"/>
      <c r="H33" s="769"/>
      <c r="I33" s="769"/>
      <c r="J33" s="766"/>
      <c r="K33" s="766" t="s">
        <v>782</v>
      </c>
      <c r="L33" s="766"/>
    </row>
    <row r="34" spans="1:14" ht="14.5" x14ac:dyDescent="0.35">
      <c r="C34" s="763" t="s">
        <v>761</v>
      </c>
      <c r="D34" s="772">
        <f t="shared" ref="D34:I34" si="1">SUBTOTAL(9,D12:D33)</f>
        <v>-54450.610000000008</v>
      </c>
      <c r="E34" s="772">
        <f t="shared" si="1"/>
        <v>-136208.69</v>
      </c>
      <c r="F34" s="772">
        <f t="shared" si="1"/>
        <v>-360277.96186206629</v>
      </c>
      <c r="G34" s="772">
        <f t="shared" si="1"/>
        <v>-126419.20077684551</v>
      </c>
      <c r="H34" s="772">
        <f t="shared" si="1"/>
        <v>-11278.459331492573</v>
      </c>
      <c r="I34" s="772">
        <f t="shared" si="1"/>
        <v>91366.681344396638</v>
      </c>
      <c r="J34" s="766"/>
      <c r="K34" s="763" t="s">
        <v>761</v>
      </c>
      <c r="L34" s="772" t="e">
        <f>SUBTOTAL(9,L10:L33)</f>
        <v>#REF!</v>
      </c>
    </row>
    <row r="35" spans="1:14" ht="14.5" x14ac:dyDescent="0.35">
      <c r="J35" s="766"/>
      <c r="K35" s="766"/>
      <c r="L35" s="765"/>
    </row>
    <row r="36" spans="1:14" ht="14.5" x14ac:dyDescent="0.35">
      <c r="A36" s="768" t="s">
        <v>783</v>
      </c>
      <c r="B36" s="763" t="s">
        <v>784</v>
      </c>
      <c r="J36" s="768" t="s">
        <v>783</v>
      </c>
      <c r="K36" s="763" t="s">
        <v>784</v>
      </c>
      <c r="L36" s="765"/>
    </row>
    <row r="37" spans="1:14" ht="14.5" x14ac:dyDescent="0.35">
      <c r="J37" s="766"/>
      <c r="K37" s="766"/>
      <c r="L37" s="765"/>
    </row>
    <row r="38" spans="1:14" ht="14.5" x14ac:dyDescent="0.35">
      <c r="C38" s="766" t="s">
        <v>785</v>
      </c>
      <c r="D38" s="769">
        <v>0</v>
      </c>
      <c r="E38" s="769">
        <f>-AV!G23</f>
        <v>-51174.71</v>
      </c>
      <c r="F38" s="769">
        <f>-AV!G63</f>
        <v>-1043574.01</v>
      </c>
      <c r="G38" s="769">
        <f>-AV!G110</f>
        <v>-5076.666666666667</v>
      </c>
      <c r="H38" s="769">
        <f>-AV!G156</f>
        <v>0</v>
      </c>
      <c r="I38" s="769">
        <f>-AV!G202</f>
        <v>0</v>
      </c>
      <c r="J38" s="766"/>
      <c r="K38" s="766" t="s">
        <v>785</v>
      </c>
      <c r="L38" s="773">
        <v>0</v>
      </c>
    </row>
    <row r="39" spans="1:14" ht="14.5" x14ac:dyDescent="0.35">
      <c r="J39" s="766"/>
      <c r="K39" s="766" t="s">
        <v>786</v>
      </c>
      <c r="L39" s="773">
        <v>0</v>
      </c>
    </row>
    <row r="40" spans="1:14" ht="14.5" x14ac:dyDescent="0.35">
      <c r="C40" s="763" t="s">
        <v>784</v>
      </c>
      <c r="D40" s="772">
        <f t="shared" ref="D40:I40" si="2">SUBTOTAL(9,D38:D39)</f>
        <v>0</v>
      </c>
      <c r="E40" s="772">
        <f t="shared" si="2"/>
        <v>-51174.71</v>
      </c>
      <c r="F40" s="772">
        <f t="shared" si="2"/>
        <v>-1043574.01</v>
      </c>
      <c r="G40" s="772">
        <f t="shared" si="2"/>
        <v>-5076.666666666667</v>
      </c>
      <c r="H40" s="772">
        <f t="shared" si="2"/>
        <v>0</v>
      </c>
      <c r="I40" s="772">
        <f t="shared" si="2"/>
        <v>0</v>
      </c>
      <c r="J40" s="766"/>
      <c r="K40" s="763" t="s">
        <v>784</v>
      </c>
      <c r="L40" s="772">
        <f>SUBTOTAL(9,L38:L39)</f>
        <v>0</v>
      </c>
    </row>
    <row r="41" spans="1:14" ht="14.5" x14ac:dyDescent="0.35">
      <c r="J41" s="766"/>
      <c r="K41" s="766"/>
      <c r="L41" s="765"/>
    </row>
    <row r="42" spans="1:14" ht="14.5" x14ac:dyDescent="0.35">
      <c r="J42" s="766"/>
      <c r="K42" s="766"/>
      <c r="L42" s="765"/>
    </row>
    <row r="43" spans="1:14" ht="14.5" x14ac:dyDescent="0.35">
      <c r="A43" s="768" t="s">
        <v>787</v>
      </c>
      <c r="B43" s="763" t="s">
        <v>788</v>
      </c>
      <c r="D43" s="772">
        <f>SUBTOTAL(9,D40:D41)</f>
        <v>0</v>
      </c>
      <c r="J43" s="768" t="s">
        <v>787</v>
      </c>
      <c r="K43" s="763" t="s">
        <v>788</v>
      </c>
      <c r="L43" s="765"/>
    </row>
    <row r="44" spans="1:14" ht="14.5" x14ac:dyDescent="0.35">
      <c r="J44" s="766"/>
      <c r="K44" s="766"/>
      <c r="L44" s="765"/>
    </row>
    <row r="45" spans="1:14" ht="14.5" x14ac:dyDescent="0.35">
      <c r="D45" s="769"/>
      <c r="E45" s="769"/>
      <c r="F45" s="769"/>
      <c r="G45" s="769"/>
      <c r="H45" s="769"/>
      <c r="I45" s="769"/>
      <c r="J45" s="766"/>
      <c r="K45" s="766" t="s">
        <v>789</v>
      </c>
      <c r="L45" s="765" t="e">
        <f>#REF!</f>
        <v>#REF!</v>
      </c>
    </row>
    <row r="46" spans="1:14" ht="14.5" x14ac:dyDescent="0.35">
      <c r="C46" t="s">
        <v>790</v>
      </c>
      <c r="D46" s="769"/>
      <c r="E46" s="769">
        <f>+Bil!F43</f>
        <v>0</v>
      </c>
      <c r="F46" s="769">
        <f>-Bil!F43+Bil!G43</f>
        <v>195560.93</v>
      </c>
      <c r="G46" s="769">
        <f>-Bil!G43+Bil!H43</f>
        <v>-195560.93</v>
      </c>
      <c r="H46" s="769">
        <f>-Bil!H43+Bil!I43</f>
        <v>0</v>
      </c>
      <c r="I46" s="769">
        <f>-Bil!I43+Bil!J43</f>
        <v>0</v>
      </c>
      <c r="J46" s="769">
        <f>+Bil!K43</f>
        <v>0</v>
      </c>
      <c r="K46" s="769" t="e">
        <f>+Bil!#REF!</f>
        <v>#REF!</v>
      </c>
      <c r="L46" s="769" t="e">
        <f>+Bil!#REF!</f>
        <v>#REF!</v>
      </c>
      <c r="M46" s="769">
        <f>+Bil!L43</f>
        <v>0</v>
      </c>
      <c r="N46" s="769">
        <f>+Bil!M43</f>
        <v>0</v>
      </c>
    </row>
    <row r="47" spans="1:14" ht="14.5" x14ac:dyDescent="0.35">
      <c r="C47" t="s">
        <v>791</v>
      </c>
      <c r="D47" s="769">
        <f>+Bil!D28</f>
        <v>72220</v>
      </c>
      <c r="E47" s="769">
        <f>-Bil!D28+Bil!F28</f>
        <v>83760</v>
      </c>
      <c r="F47" s="769">
        <f>-Bil!F28+Bil!G28</f>
        <v>74740</v>
      </c>
      <c r="G47" s="769">
        <f>-Bil!G28+Bil!H28</f>
        <v>127900</v>
      </c>
      <c r="H47" s="769">
        <f>-Bil!H28+Bil!I28</f>
        <v>105143.20799999998</v>
      </c>
      <c r="I47" s="769">
        <f>-Bil!I28+Bil!J28</f>
        <v>38489.103999999992</v>
      </c>
      <c r="J47" s="769">
        <f>+Bil!J28</f>
        <v>502252.31199999998</v>
      </c>
      <c r="K47" s="769">
        <f>+Bil!K28</f>
        <v>530656.31199999992</v>
      </c>
      <c r="L47" s="769" t="e">
        <f>+Bil!#REF!</f>
        <v>#REF!</v>
      </c>
      <c r="M47" s="769" t="e">
        <f>+Bil!#REF!</f>
        <v>#REF!</v>
      </c>
      <c r="N47" s="769">
        <f>+Bil!L28</f>
        <v>559060.31199999992</v>
      </c>
    </row>
    <row r="48" spans="1:14" ht="14.5" x14ac:dyDescent="0.35">
      <c r="C48" t="s">
        <v>792</v>
      </c>
      <c r="D48" s="769">
        <f>+Bil!D44</f>
        <v>423389</v>
      </c>
      <c r="E48" s="769">
        <f>-Bil!D44+Bil!F44</f>
        <v>130400</v>
      </c>
      <c r="F48" s="769">
        <f>-Bil!F44+Bil!G44</f>
        <v>349899</v>
      </c>
      <c r="G48" s="769">
        <f>-Bil!G44+Bil!H44</f>
        <v>159700</v>
      </c>
      <c r="H48" s="769">
        <f>-Bil!H44+Bil!I44</f>
        <v>-119099.45600000047</v>
      </c>
      <c r="I48" s="769">
        <f>-Bil!I44+Bil!J44</f>
        <v>-113314.6252799998</v>
      </c>
      <c r="J48" s="766"/>
      <c r="K48" s="766" t="s">
        <v>793</v>
      </c>
      <c r="L48" s="765"/>
    </row>
    <row r="49" spans="2:12" ht="14.5" x14ac:dyDescent="0.35">
      <c r="D49" s="769">
        <f>+Bil!D30</f>
        <v>0</v>
      </c>
      <c r="E49" s="769">
        <f>-Bil!D30+Bil!F30</f>
        <v>0</v>
      </c>
      <c r="F49" s="769">
        <f>-Bil!F30+Bil!G30</f>
        <v>0</v>
      </c>
      <c r="G49" s="769">
        <f>-Bil!G30+Bil!H30</f>
        <v>0</v>
      </c>
      <c r="H49" s="769">
        <f>-Bil!H30+Bil!I30</f>
        <v>0</v>
      </c>
      <c r="I49" s="769">
        <f>-Bil!I30+Bil!J30</f>
        <v>0</v>
      </c>
      <c r="J49" s="766"/>
      <c r="K49" s="766" t="s">
        <v>794</v>
      </c>
      <c r="L49" s="765"/>
    </row>
    <row r="50" spans="2:12" ht="14.5" x14ac:dyDescent="0.35">
      <c r="C50" t="s">
        <v>795</v>
      </c>
      <c r="D50" s="769">
        <f>+Bil!D31</f>
        <v>0</v>
      </c>
      <c r="E50" s="769">
        <f>-Bil!D31+Bil!F31</f>
        <v>0</v>
      </c>
      <c r="F50" s="769">
        <f>-Bil!F31+Bil!G31</f>
        <v>0</v>
      </c>
      <c r="G50" s="769">
        <f>-Bil!G31+Bil!H31</f>
        <v>0</v>
      </c>
      <c r="H50" s="769">
        <f>-Bil!H31+Bil!I31</f>
        <v>0</v>
      </c>
      <c r="I50" s="769">
        <f>-Bil!I31+Bil!J31</f>
        <v>0</v>
      </c>
      <c r="J50" s="766"/>
      <c r="K50" s="766" t="s">
        <v>796</v>
      </c>
      <c r="L50" s="766"/>
    </row>
    <row r="51" spans="2:12" ht="14.5" x14ac:dyDescent="0.35">
      <c r="D51" s="769"/>
      <c r="E51" s="769"/>
      <c r="F51" s="769"/>
      <c r="G51" s="769"/>
      <c r="H51" s="769"/>
      <c r="I51" s="769"/>
      <c r="J51" s="766"/>
      <c r="K51" s="770" t="s">
        <v>797</v>
      </c>
      <c r="L51" s="771">
        <v>0</v>
      </c>
    </row>
    <row r="52" spans="2:12" ht="14.5" x14ac:dyDescent="0.35">
      <c r="J52" s="766"/>
      <c r="K52" s="774"/>
      <c r="L52" s="775"/>
    </row>
    <row r="53" spans="2:12" ht="14.5" x14ac:dyDescent="0.35">
      <c r="B53" s="763"/>
      <c r="C53" s="763" t="s">
        <v>788</v>
      </c>
      <c r="D53" s="772">
        <f t="shared" ref="D53:I53" si="3">SUBTOTAL(9,D46:D51)</f>
        <v>495609</v>
      </c>
      <c r="E53" s="772">
        <f t="shared" si="3"/>
        <v>214160</v>
      </c>
      <c r="F53" s="772">
        <f t="shared" si="3"/>
        <v>620199.92999999993</v>
      </c>
      <c r="G53" s="772">
        <f t="shared" si="3"/>
        <v>92039.07</v>
      </c>
      <c r="H53" s="772">
        <f t="shared" si="3"/>
        <v>-13956.248000000487</v>
      </c>
      <c r="I53" s="772">
        <f t="shared" si="3"/>
        <v>-74825.521279999812</v>
      </c>
      <c r="J53" s="766"/>
      <c r="K53" s="763" t="s">
        <v>788</v>
      </c>
      <c r="L53" s="772" t="e">
        <f>SUBTOTAL(9,L45:L51)</f>
        <v>#REF!</v>
      </c>
    </row>
    <row r="54" spans="2:12" ht="14.5" x14ac:dyDescent="0.35">
      <c r="J54" s="766"/>
      <c r="K54" s="763"/>
      <c r="L54" s="772"/>
    </row>
    <row r="55" spans="2:12" ht="14.5" x14ac:dyDescent="0.35">
      <c r="J55" s="766"/>
      <c r="K55" s="766"/>
      <c r="L55" s="765"/>
    </row>
    <row r="56" spans="2:12" ht="14.5" x14ac:dyDescent="0.35">
      <c r="C56" s="764" t="s">
        <v>798</v>
      </c>
      <c r="D56" s="776">
        <f t="shared" ref="D56:I56" si="4">SUBTOTAL(9,D10:D55)</f>
        <v>441158.39</v>
      </c>
      <c r="E56" s="776">
        <f t="shared" si="4"/>
        <v>26776.600000000006</v>
      </c>
      <c r="F56" s="776">
        <f t="shared" si="4"/>
        <v>-783652.04186206637</v>
      </c>
      <c r="G56" s="776">
        <f t="shared" si="4"/>
        <v>-39456.797443512129</v>
      </c>
      <c r="H56" s="776">
        <f t="shared" si="4"/>
        <v>-25234.70733149306</v>
      </c>
      <c r="I56" s="776">
        <f t="shared" si="4"/>
        <v>16541.160064396827</v>
      </c>
      <c r="J56" s="766"/>
      <c r="K56" s="764" t="s">
        <v>798</v>
      </c>
      <c r="L56" s="776" t="e">
        <f>SUBTOTAL(9,L10:L55)</f>
        <v>#REF!</v>
      </c>
    </row>
    <row r="57" spans="2:12" ht="14.5" x14ac:dyDescent="0.35">
      <c r="C57" s="766"/>
      <c r="D57" s="765"/>
      <c r="J57" s="766"/>
      <c r="K57" s="766"/>
      <c r="L57" s="765"/>
    </row>
    <row r="58" spans="2:12" ht="14.5" x14ac:dyDescent="0.35">
      <c r="C58" s="766"/>
      <c r="D58" s="765"/>
      <c r="J58" s="766"/>
      <c r="K58" s="766"/>
      <c r="L58" s="765"/>
    </row>
    <row r="59" spans="2:12" ht="14.5" x14ac:dyDescent="0.35">
      <c r="C59" s="766" t="s">
        <v>799</v>
      </c>
      <c r="D59" s="769">
        <v>0</v>
      </c>
      <c r="E59" s="769">
        <f>+D60</f>
        <v>441158.38999999996</v>
      </c>
      <c r="F59" s="769">
        <f>+E60</f>
        <v>603925.02</v>
      </c>
      <c r="G59" s="769">
        <f>+F60</f>
        <v>-182122.05186206661</v>
      </c>
      <c r="H59" s="769">
        <f>+G60</f>
        <v>-206793.84930557851</v>
      </c>
      <c r="I59" s="769">
        <f>+H60</f>
        <v>-248643.55663707189</v>
      </c>
      <c r="J59" s="766"/>
      <c r="K59" s="766" t="s">
        <v>800</v>
      </c>
      <c r="L59" s="765" t="e">
        <f>#REF!</f>
        <v>#REF!</v>
      </c>
    </row>
    <row r="60" spans="2:12" ht="14.5" x14ac:dyDescent="0.35">
      <c r="C60" s="770" t="s">
        <v>801</v>
      </c>
      <c r="D60" s="777">
        <f>+Bil!D19</f>
        <v>441158.38999999996</v>
      </c>
      <c r="E60" s="777">
        <f>+Bil!F19</f>
        <v>603925.02</v>
      </c>
      <c r="F60" s="777">
        <f>+Bil!G19</f>
        <v>-182122.05186206661</v>
      </c>
      <c r="G60" s="777">
        <f>+Bil!H19</f>
        <v>-206793.84930557851</v>
      </c>
      <c r="H60" s="777">
        <f>+Bil!I19</f>
        <v>-248643.55663707189</v>
      </c>
      <c r="I60" s="777">
        <f>+Bil!J19</f>
        <v>-248717.39657267486</v>
      </c>
      <c r="J60" s="766"/>
      <c r="K60" s="770" t="s">
        <v>802</v>
      </c>
      <c r="L60" s="771" t="e">
        <f>#REF!</f>
        <v>#REF!</v>
      </c>
    </row>
    <row r="61" spans="2:12" ht="14.5" x14ac:dyDescent="0.35">
      <c r="C61" s="766"/>
      <c r="D61" s="765"/>
      <c r="J61" s="766"/>
      <c r="K61" s="766"/>
      <c r="L61" s="765"/>
    </row>
    <row r="62" spans="2:12" ht="14.5" x14ac:dyDescent="0.35">
      <c r="C62" s="764" t="s">
        <v>803</v>
      </c>
      <c r="D62" s="776">
        <f t="shared" ref="D62:I62" si="5">D60-D59</f>
        <v>441158.38999999996</v>
      </c>
      <c r="E62" s="776">
        <f t="shared" si="5"/>
        <v>162766.63000000006</v>
      </c>
      <c r="F62" s="776">
        <f t="shared" si="5"/>
        <v>-786047.07186206663</v>
      </c>
      <c r="G62" s="776">
        <f t="shared" si="5"/>
        <v>-24671.797443511896</v>
      </c>
      <c r="H62" s="776">
        <f t="shared" si="5"/>
        <v>-41849.70733149338</v>
      </c>
      <c r="I62" s="776">
        <f t="shared" si="5"/>
        <v>-73.83993560296949</v>
      </c>
      <c r="J62" s="766"/>
      <c r="K62" s="764" t="s">
        <v>803</v>
      </c>
      <c r="L62" s="776" t="e">
        <f>L60-L59</f>
        <v>#REF!</v>
      </c>
    </row>
    <row r="63" spans="2:12" ht="14.5" x14ac:dyDescent="0.35">
      <c r="J63" s="766"/>
      <c r="K63" s="766"/>
      <c r="L63" s="765"/>
    </row>
    <row r="64" spans="2:12" ht="14.5" x14ac:dyDescent="0.35">
      <c r="J64" s="766"/>
      <c r="K64" s="766"/>
      <c r="L64" s="765"/>
    </row>
    <row r="65" spans="4:9" ht="14.5" x14ac:dyDescent="0.35">
      <c r="D65" s="769">
        <f t="shared" ref="D65:I65" si="6">+D56-D62</f>
        <v>0</v>
      </c>
      <c r="E65" s="769">
        <f t="shared" si="6"/>
        <v>-135990.03000000006</v>
      </c>
      <c r="F65" s="769">
        <f t="shared" si="6"/>
        <v>2395.0300000002608</v>
      </c>
      <c r="G65" s="769">
        <f t="shared" si="6"/>
        <v>-14785.000000000233</v>
      </c>
      <c r="H65" s="769">
        <f t="shared" si="6"/>
        <v>16615.00000000032</v>
      </c>
      <c r="I65" s="769">
        <f t="shared" si="6"/>
        <v>16614.999999999796</v>
      </c>
    </row>
  </sheetData>
  <pageMargins left="0.7" right="0.7" top="0.78749999999999998" bottom="0.78749999999999998" header="0.511811023622047" footer="0.511811023622047"/>
  <pageSetup paperSize="9" scale="68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2"/>
  <sheetViews>
    <sheetView view="pageBreakPreview" topLeftCell="A7" zoomScaleNormal="100" workbookViewId="0">
      <selection activeCell="H17" sqref="H17"/>
    </sheetView>
  </sheetViews>
  <sheetFormatPr baseColWidth="10" defaultColWidth="10.7265625" defaultRowHeight="14.25" customHeight="1" x14ac:dyDescent="0.35"/>
  <cols>
    <col min="1" max="1" width="28.81640625" customWidth="1"/>
  </cols>
  <sheetData>
    <row r="1" spans="1:5" ht="14.25" customHeight="1" x14ac:dyDescent="0.35">
      <c r="A1" s="2" t="s">
        <v>804</v>
      </c>
      <c r="E1" t="s">
        <v>805</v>
      </c>
    </row>
    <row r="2" spans="1:5" ht="14.25" customHeight="1" x14ac:dyDescent="0.35">
      <c r="B2" t="s">
        <v>806</v>
      </c>
      <c r="C2" t="s">
        <v>807</v>
      </c>
    </row>
    <row r="3" spans="1:5" ht="14.25" customHeight="1" x14ac:dyDescent="0.35">
      <c r="A3" t="s">
        <v>808</v>
      </c>
      <c r="B3">
        <v>1745</v>
      </c>
      <c r="C3" t="s">
        <v>809</v>
      </c>
    </row>
    <row r="4" spans="1:5" ht="14.25" customHeight="1" x14ac:dyDescent="0.35">
      <c r="A4" t="s">
        <v>810</v>
      </c>
      <c r="B4">
        <v>7680</v>
      </c>
    </row>
    <row r="5" spans="1:5" ht="14.25" customHeight="1" x14ac:dyDescent="0.35">
      <c r="A5" t="s">
        <v>811</v>
      </c>
      <c r="B5">
        <v>342</v>
      </c>
    </row>
    <row r="6" spans="1:5" ht="14.25" customHeight="1" x14ac:dyDescent="0.35">
      <c r="A6" t="s">
        <v>812</v>
      </c>
      <c r="B6">
        <v>276</v>
      </c>
    </row>
    <row r="7" spans="1:5" ht="14.25" customHeight="1" x14ac:dyDescent="0.35">
      <c r="A7" t="s">
        <v>813</v>
      </c>
      <c r="B7">
        <v>500</v>
      </c>
      <c r="C7" t="s">
        <v>814</v>
      </c>
    </row>
    <row r="8" spans="1:5" ht="14.25" customHeight="1" x14ac:dyDescent="0.35">
      <c r="A8" t="s">
        <v>815</v>
      </c>
      <c r="B8">
        <v>800</v>
      </c>
      <c r="C8" t="s">
        <v>814</v>
      </c>
    </row>
    <row r="9" spans="1:5" ht="14.25" customHeight="1" x14ac:dyDescent="0.35">
      <c r="A9" t="s">
        <v>816</v>
      </c>
      <c r="B9">
        <v>200</v>
      </c>
    </row>
    <row r="10" spans="1:5" ht="14.25" customHeight="1" x14ac:dyDescent="0.35">
      <c r="A10" t="s">
        <v>817</v>
      </c>
      <c r="B10">
        <f>161+35</f>
        <v>196</v>
      </c>
    </row>
    <row r="12" spans="1:5" ht="14.25" customHeight="1" x14ac:dyDescent="0.35">
      <c r="A12" t="s">
        <v>818</v>
      </c>
      <c r="B12">
        <f>SUM(B3:B10)</f>
        <v>11739</v>
      </c>
    </row>
    <row r="15" spans="1:5" ht="14.25" customHeight="1" x14ac:dyDescent="0.35">
      <c r="A15" s="2" t="s">
        <v>819</v>
      </c>
    </row>
    <row r="17" spans="1:2" ht="14.25" customHeight="1" x14ac:dyDescent="0.35">
      <c r="A17" s="778" t="s">
        <v>820</v>
      </c>
      <c r="B17" s="778">
        <v>5023.2</v>
      </c>
    </row>
    <row r="18" spans="1:2" ht="14.25" customHeight="1" x14ac:dyDescent="0.35">
      <c r="A18" s="778" t="s">
        <v>821</v>
      </c>
      <c r="B18" s="778">
        <v>1980</v>
      </c>
    </row>
    <row r="19" spans="1:2" ht="14.25" customHeight="1" x14ac:dyDescent="0.35">
      <c r="A19" s="778" t="s">
        <v>822</v>
      </c>
      <c r="B19" s="778">
        <v>181</v>
      </c>
    </row>
    <row r="20" spans="1:2" ht="14.25" customHeight="1" x14ac:dyDescent="0.35">
      <c r="A20" s="778" t="s">
        <v>823</v>
      </c>
      <c r="B20" s="778">
        <v>200</v>
      </c>
    </row>
    <row r="22" spans="1:2" ht="14.25" customHeight="1" x14ac:dyDescent="0.35">
      <c r="A22" s="778" t="s">
        <v>818</v>
      </c>
      <c r="B22">
        <f>SUM(B17:B20)</f>
        <v>7384.2</v>
      </c>
    </row>
  </sheetData>
  <pageMargins left="0.7" right="0.7" top="0.78749999999999998" bottom="0.78749999999999998" header="0.511811023622047" footer="0.511811023622047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7"/>
  <sheetViews>
    <sheetView view="pageBreakPreview" topLeftCell="A250" zoomScaleNormal="100" workbookViewId="0">
      <selection activeCell="C204" sqref="C204"/>
    </sheetView>
  </sheetViews>
  <sheetFormatPr baseColWidth="10" defaultColWidth="10.7265625" defaultRowHeight="14.25" customHeight="1" x14ac:dyDescent="0.35"/>
  <cols>
    <col min="2" max="2" width="60.26953125" style="1" customWidth="1"/>
  </cols>
  <sheetData>
    <row r="1" spans="1:4" ht="14.5" x14ac:dyDescent="0.35">
      <c r="A1" s="2" t="s">
        <v>0</v>
      </c>
      <c r="B1" s="3" t="s">
        <v>1</v>
      </c>
      <c r="C1" s="2" t="s">
        <v>2</v>
      </c>
      <c r="D1" s="2" t="s">
        <v>3</v>
      </c>
    </row>
    <row r="2" spans="1:4" ht="14.5" x14ac:dyDescent="0.35">
      <c r="C2" s="4">
        <v>46053</v>
      </c>
    </row>
    <row r="3" spans="1:4" ht="14.5" x14ac:dyDescent="0.35">
      <c r="C3" s="4" t="s">
        <v>4</v>
      </c>
    </row>
    <row r="4" spans="1:4" ht="14.5" x14ac:dyDescent="0.35">
      <c r="C4" s="4"/>
    </row>
    <row r="5" spans="1:4" ht="14.5" x14ac:dyDescent="0.35">
      <c r="A5">
        <v>0</v>
      </c>
      <c r="B5" s="1" t="s">
        <v>5</v>
      </c>
      <c r="D5">
        <v>-3825.28</v>
      </c>
    </row>
    <row r="6" spans="1:4" ht="14.5" x14ac:dyDescent="0.35">
      <c r="A6">
        <v>8</v>
      </c>
    </row>
    <row r="7" spans="1:4" ht="14.5" x14ac:dyDescent="0.35">
      <c r="A7">
        <v>10</v>
      </c>
      <c r="B7" s="1" t="s">
        <v>6</v>
      </c>
    </row>
    <row r="8" spans="1:4" ht="14.5" x14ac:dyDescent="0.35">
      <c r="A8">
        <v>20</v>
      </c>
    </row>
    <row r="9" spans="1:4" ht="14.5" x14ac:dyDescent="0.35">
      <c r="A9">
        <v>30</v>
      </c>
    </row>
    <row r="10" spans="1:4" ht="14.5" x14ac:dyDescent="0.35">
      <c r="A10">
        <v>31</v>
      </c>
    </row>
    <row r="11" spans="1:4" ht="14.5" x14ac:dyDescent="0.35">
      <c r="A11">
        <v>90</v>
      </c>
      <c r="B11" s="1" t="s">
        <v>7</v>
      </c>
    </row>
    <row r="12" spans="1:4" ht="14.5" x14ac:dyDescent="0.35">
      <c r="A12">
        <v>100</v>
      </c>
      <c r="B12" s="1" t="s">
        <v>8</v>
      </c>
    </row>
    <row r="13" spans="1:4" ht="14.5" x14ac:dyDescent="0.35">
      <c r="A13">
        <v>110</v>
      </c>
      <c r="B13" s="1" t="s">
        <v>9</v>
      </c>
    </row>
    <row r="14" spans="1:4" ht="14.5" x14ac:dyDescent="0.35">
      <c r="A14">
        <v>120</v>
      </c>
      <c r="B14" s="1" t="s">
        <v>10</v>
      </c>
      <c r="C14">
        <v>13700</v>
      </c>
    </row>
    <row r="15" spans="1:4" ht="14.5" x14ac:dyDescent="0.35">
      <c r="A15">
        <v>121</v>
      </c>
      <c r="B15" s="1" t="s">
        <v>11</v>
      </c>
    </row>
    <row r="16" spans="1:4" ht="14.5" x14ac:dyDescent="0.35">
      <c r="A16">
        <v>127</v>
      </c>
    </row>
    <row r="17" spans="1:4" ht="14.5" x14ac:dyDescent="0.35">
      <c r="A17">
        <v>129</v>
      </c>
      <c r="B17" s="1" t="s">
        <v>12</v>
      </c>
      <c r="D17">
        <v>-1370</v>
      </c>
    </row>
    <row r="18" spans="1:4" ht="29" x14ac:dyDescent="0.35">
      <c r="A18">
        <v>130</v>
      </c>
      <c r="B18" s="1" t="s">
        <v>13</v>
      </c>
    </row>
    <row r="19" spans="1:4" ht="14.5" x14ac:dyDescent="0.35">
      <c r="A19">
        <v>140</v>
      </c>
      <c r="B19" s="1" t="s">
        <v>14</v>
      </c>
    </row>
    <row r="20" spans="1:4" ht="14.5" x14ac:dyDescent="0.35">
      <c r="A20">
        <v>150</v>
      </c>
      <c r="B20" s="1" t="s">
        <v>15</v>
      </c>
    </row>
    <row r="21" spans="1:4" ht="14.5" x14ac:dyDescent="0.35">
      <c r="A21">
        <v>180</v>
      </c>
      <c r="B21" s="1" t="s">
        <v>16</v>
      </c>
    </row>
    <row r="22" spans="1:4" ht="14.5" x14ac:dyDescent="0.35">
      <c r="A22">
        <v>190</v>
      </c>
      <c r="B22" s="1" t="s">
        <v>7</v>
      </c>
    </row>
    <row r="23" spans="1:4" ht="14.5" x14ac:dyDescent="0.35">
      <c r="A23">
        <v>200</v>
      </c>
      <c r="B23" s="1" t="s">
        <v>17</v>
      </c>
    </row>
    <row r="24" spans="1:4" ht="14.5" x14ac:dyDescent="0.35">
      <c r="A24">
        <v>206</v>
      </c>
    </row>
    <row r="25" spans="1:4" ht="14.5" x14ac:dyDescent="0.35">
      <c r="A25">
        <v>210</v>
      </c>
      <c r="B25" s="1" t="s">
        <v>18</v>
      </c>
    </row>
    <row r="26" spans="1:4" ht="14.5" x14ac:dyDescent="0.35">
      <c r="A26">
        <v>220</v>
      </c>
      <c r="B26" s="1" t="s">
        <v>19</v>
      </c>
    </row>
    <row r="27" spans="1:4" ht="14.5" x14ac:dyDescent="0.35">
      <c r="A27">
        <v>250</v>
      </c>
    </row>
    <row r="28" spans="1:4" ht="14.5" x14ac:dyDescent="0.35">
      <c r="A28">
        <v>300</v>
      </c>
      <c r="B28" s="1" t="s">
        <v>20</v>
      </c>
    </row>
    <row r="29" spans="1:4" ht="14.5" x14ac:dyDescent="0.35">
      <c r="A29">
        <v>310</v>
      </c>
      <c r="B29" s="1" t="s">
        <v>21</v>
      </c>
    </row>
    <row r="30" spans="1:4" ht="14.5" x14ac:dyDescent="0.35">
      <c r="A30">
        <v>320</v>
      </c>
      <c r="B30" s="1" t="s">
        <v>22</v>
      </c>
    </row>
    <row r="31" spans="1:4" ht="14.5" x14ac:dyDescent="0.35">
      <c r="A31">
        <v>330</v>
      </c>
      <c r="B31" s="1" t="s">
        <v>23</v>
      </c>
    </row>
    <row r="32" spans="1:4" ht="14.5" x14ac:dyDescent="0.35">
      <c r="A32">
        <v>340</v>
      </c>
      <c r="B32" s="1" t="s">
        <v>24</v>
      </c>
    </row>
    <row r="33" spans="1:3" ht="14.5" x14ac:dyDescent="0.35">
      <c r="A33">
        <v>350</v>
      </c>
      <c r="B33" s="1" t="s">
        <v>25</v>
      </c>
    </row>
    <row r="34" spans="1:3" ht="29" x14ac:dyDescent="0.35">
      <c r="A34">
        <v>360</v>
      </c>
      <c r="B34" s="1" t="s">
        <v>26</v>
      </c>
      <c r="C34">
        <v>878799.81</v>
      </c>
    </row>
    <row r="35" spans="1:3" ht="29" x14ac:dyDescent="0.35">
      <c r="A35">
        <v>370</v>
      </c>
      <c r="B35" s="1" t="s">
        <v>27</v>
      </c>
    </row>
    <row r="36" spans="1:3" ht="14.5" x14ac:dyDescent="0.35">
      <c r="A36">
        <v>390</v>
      </c>
      <c r="B36" s="1" t="s">
        <v>7</v>
      </c>
    </row>
    <row r="37" spans="1:3" ht="14.5" x14ac:dyDescent="0.35">
      <c r="A37">
        <v>400</v>
      </c>
      <c r="B37" s="1" t="s">
        <v>28</v>
      </c>
    </row>
    <row r="38" spans="1:3" ht="14.5" x14ac:dyDescent="0.35">
      <c r="A38">
        <v>410</v>
      </c>
      <c r="B38" s="1" t="s">
        <v>29</v>
      </c>
    </row>
    <row r="39" spans="1:3" ht="14.5" x14ac:dyDescent="0.35">
      <c r="A39">
        <v>420</v>
      </c>
      <c r="B39" s="1" t="s">
        <v>30</v>
      </c>
    </row>
    <row r="40" spans="1:3" ht="14.5" x14ac:dyDescent="0.35">
      <c r="A40">
        <v>430</v>
      </c>
      <c r="B40" s="1" t="s">
        <v>31</v>
      </c>
    </row>
    <row r="41" spans="1:3" ht="14.5" x14ac:dyDescent="0.35">
      <c r="A41">
        <v>500</v>
      </c>
      <c r="B41" s="1" t="s">
        <v>32</v>
      </c>
    </row>
    <row r="42" spans="1:3" ht="14.5" x14ac:dyDescent="0.35">
      <c r="A42">
        <v>510</v>
      </c>
      <c r="B42" s="1" t="s">
        <v>33</v>
      </c>
    </row>
    <row r="43" spans="1:3" ht="14.5" x14ac:dyDescent="0.35">
      <c r="A43">
        <v>520</v>
      </c>
      <c r="B43" s="1" t="s">
        <v>34</v>
      </c>
    </row>
    <row r="44" spans="1:3" ht="14.5" x14ac:dyDescent="0.35">
      <c r="A44">
        <v>530</v>
      </c>
      <c r="B44" s="1" t="s">
        <v>35</v>
      </c>
    </row>
    <row r="45" spans="1:3" ht="14.5" x14ac:dyDescent="0.35">
      <c r="A45">
        <v>540</v>
      </c>
      <c r="B45" s="1" t="s">
        <v>36</v>
      </c>
    </row>
    <row r="46" spans="1:3" ht="29" x14ac:dyDescent="0.35">
      <c r="A46">
        <v>550</v>
      </c>
      <c r="B46" s="1" t="s">
        <v>37</v>
      </c>
    </row>
    <row r="47" spans="1:3" ht="14.5" x14ac:dyDescent="0.35">
      <c r="A47">
        <v>600</v>
      </c>
      <c r="B47" s="1" t="s">
        <v>38</v>
      </c>
      <c r="C47">
        <v>66343.009999999995</v>
      </c>
    </row>
    <row r="48" spans="1:3" ht="14.5" x14ac:dyDescent="0.35">
      <c r="A48">
        <v>610</v>
      </c>
      <c r="B48" s="1" t="s">
        <v>39</v>
      </c>
    </row>
    <row r="49" spans="1:4" ht="14.5" x14ac:dyDescent="0.35">
      <c r="A49">
        <v>620</v>
      </c>
      <c r="B49" s="1" t="s">
        <v>40</v>
      </c>
      <c r="C49">
        <v>25000</v>
      </c>
    </row>
    <row r="50" spans="1:4" ht="14.5" x14ac:dyDescent="0.35">
      <c r="A50">
        <v>630</v>
      </c>
      <c r="B50" s="1" t="s">
        <v>41</v>
      </c>
    </row>
    <row r="51" spans="1:4" ht="14.5" x14ac:dyDescent="0.35">
      <c r="A51">
        <v>640</v>
      </c>
      <c r="B51" s="1" t="s">
        <v>42</v>
      </c>
    </row>
    <row r="52" spans="1:4" ht="14.5" x14ac:dyDescent="0.35">
      <c r="A52">
        <v>650</v>
      </c>
      <c r="B52" s="1" t="s">
        <v>43</v>
      </c>
    </row>
    <row r="53" spans="1:4" ht="14.5" x14ac:dyDescent="0.35">
      <c r="A53">
        <v>659</v>
      </c>
      <c r="B53" s="1" t="s">
        <v>44</v>
      </c>
    </row>
    <row r="54" spans="1:4" ht="14.5" x14ac:dyDescent="0.35">
      <c r="A54">
        <v>660</v>
      </c>
      <c r="B54" s="1" t="s">
        <v>45</v>
      </c>
    </row>
    <row r="55" spans="1:4" ht="14.5" x14ac:dyDescent="0.35">
      <c r="A55">
        <v>670</v>
      </c>
      <c r="B55" s="1" t="s">
        <v>46</v>
      </c>
    </row>
    <row r="56" spans="1:4" ht="29" x14ac:dyDescent="0.35">
      <c r="A56">
        <v>680</v>
      </c>
      <c r="B56" s="1" t="s">
        <v>47</v>
      </c>
    </row>
    <row r="57" spans="1:4" ht="14.5" x14ac:dyDescent="0.35">
      <c r="A57">
        <v>681</v>
      </c>
      <c r="B57" s="1" t="s">
        <v>48</v>
      </c>
      <c r="C57">
        <v>773.68</v>
      </c>
    </row>
    <row r="58" spans="1:4" ht="14.5" x14ac:dyDescent="0.35">
      <c r="A58">
        <v>689</v>
      </c>
      <c r="B58" s="1" t="s">
        <v>49</v>
      </c>
      <c r="D58">
        <v>-301.67</v>
      </c>
    </row>
    <row r="59" spans="1:4" ht="14.5" x14ac:dyDescent="0.35">
      <c r="A59">
        <v>692</v>
      </c>
      <c r="B59" s="1" t="s">
        <v>50</v>
      </c>
    </row>
    <row r="60" spans="1:4" ht="14.5" x14ac:dyDescent="0.35">
      <c r="A60">
        <v>693</v>
      </c>
      <c r="B60" s="1" t="s">
        <v>51</v>
      </c>
    </row>
    <row r="61" spans="1:4" ht="14.5" x14ac:dyDescent="0.35">
      <c r="A61">
        <v>694</v>
      </c>
      <c r="B61" s="1" t="s">
        <v>52</v>
      </c>
    </row>
    <row r="62" spans="1:4" ht="14.5" x14ac:dyDescent="0.35">
      <c r="A62">
        <v>696</v>
      </c>
      <c r="B62" s="1" t="s">
        <v>53</v>
      </c>
    </row>
    <row r="63" spans="1:4" ht="14.5" x14ac:dyDescent="0.35">
      <c r="A63">
        <v>700</v>
      </c>
      <c r="B63" s="1" t="s">
        <v>16</v>
      </c>
    </row>
    <row r="64" spans="1:4" ht="14.5" x14ac:dyDescent="0.35">
      <c r="A64">
        <v>710</v>
      </c>
      <c r="B64" s="1" t="s">
        <v>54</v>
      </c>
    </row>
    <row r="65" spans="1:2" ht="14.5" x14ac:dyDescent="0.35">
      <c r="A65">
        <v>790</v>
      </c>
      <c r="B65" s="1" t="s">
        <v>7</v>
      </c>
    </row>
    <row r="66" spans="1:2" ht="14.5" x14ac:dyDescent="0.35">
      <c r="A66">
        <v>800</v>
      </c>
      <c r="B66" s="1" t="s">
        <v>55</v>
      </c>
    </row>
    <row r="67" spans="1:2" ht="14.5" x14ac:dyDescent="0.35">
      <c r="A67">
        <v>810</v>
      </c>
      <c r="B67" s="1" t="s">
        <v>56</v>
      </c>
    </row>
    <row r="68" spans="1:2" ht="14.5" x14ac:dyDescent="0.35">
      <c r="A68">
        <v>820</v>
      </c>
      <c r="B68" s="1" t="s">
        <v>57</v>
      </c>
    </row>
    <row r="69" spans="1:2" ht="14.5" x14ac:dyDescent="0.35">
      <c r="A69">
        <v>830</v>
      </c>
      <c r="B69" s="1" t="s">
        <v>58</v>
      </c>
    </row>
    <row r="70" spans="1:2" ht="14.5" x14ac:dyDescent="0.35">
      <c r="A70">
        <v>840</v>
      </c>
      <c r="B70" s="1" t="s">
        <v>59</v>
      </c>
    </row>
    <row r="71" spans="1:2" ht="29" x14ac:dyDescent="0.35">
      <c r="A71">
        <v>850</v>
      </c>
      <c r="B71" s="1" t="s">
        <v>60</v>
      </c>
    </row>
    <row r="72" spans="1:2" ht="14.5" x14ac:dyDescent="0.35">
      <c r="A72">
        <v>860</v>
      </c>
      <c r="B72" s="1" t="s">
        <v>61</v>
      </c>
    </row>
    <row r="73" spans="1:2" ht="14.5" x14ac:dyDescent="0.35">
      <c r="A73">
        <v>870</v>
      </c>
      <c r="B73" s="1" t="s">
        <v>62</v>
      </c>
    </row>
    <row r="74" spans="1:2" ht="14.5" x14ac:dyDescent="0.35">
      <c r="A74">
        <v>880</v>
      </c>
      <c r="B74" s="1" t="s">
        <v>63</v>
      </c>
    </row>
    <row r="75" spans="1:2" ht="14.5" x14ac:dyDescent="0.35">
      <c r="A75">
        <v>900</v>
      </c>
      <c r="B75" s="1" t="s">
        <v>64</v>
      </c>
    </row>
    <row r="76" spans="1:2" ht="14.5" x14ac:dyDescent="0.35">
      <c r="A76">
        <v>910</v>
      </c>
      <c r="B76" s="1" t="s">
        <v>65</v>
      </c>
    </row>
    <row r="77" spans="1:2" ht="14.5" x14ac:dyDescent="0.35">
      <c r="A77">
        <v>980</v>
      </c>
      <c r="B77" s="1" t="s">
        <v>16</v>
      </c>
    </row>
    <row r="78" spans="1:2" ht="14.5" x14ac:dyDescent="0.35">
      <c r="A78">
        <v>990</v>
      </c>
      <c r="B78" s="1" t="s">
        <v>7</v>
      </c>
    </row>
    <row r="79" spans="1:2" ht="14.5" x14ac:dyDescent="0.35">
      <c r="A79">
        <v>1598</v>
      </c>
    </row>
    <row r="80" spans="1:2" ht="14.5" x14ac:dyDescent="0.35">
      <c r="A80">
        <v>1600</v>
      </c>
      <c r="B80" s="1" t="s">
        <v>66</v>
      </c>
    </row>
    <row r="81" spans="1:4" ht="14.5" x14ac:dyDescent="0.35">
      <c r="A81">
        <v>1800</v>
      </c>
      <c r="B81" s="1" t="s">
        <v>16</v>
      </c>
    </row>
    <row r="82" spans="1:4" ht="14.5" x14ac:dyDescent="0.35">
      <c r="A82">
        <v>2000</v>
      </c>
      <c r="B82" s="1" t="s">
        <v>67</v>
      </c>
      <c r="C82">
        <v>60063.08</v>
      </c>
    </row>
    <row r="83" spans="1:4" ht="14.5" x14ac:dyDescent="0.35">
      <c r="A83">
        <v>2001</v>
      </c>
      <c r="B83" s="1" t="s">
        <v>68</v>
      </c>
      <c r="D83">
        <v>-2800</v>
      </c>
    </row>
    <row r="84" spans="1:4" ht="14.5" x14ac:dyDescent="0.35">
      <c r="A84">
        <v>2010</v>
      </c>
      <c r="B84" s="1" t="s">
        <v>69</v>
      </c>
    </row>
    <row r="85" spans="1:4" ht="14.5" x14ac:dyDescent="0.35">
      <c r="A85">
        <v>2020</v>
      </c>
      <c r="B85" s="1" t="s">
        <v>70</v>
      </c>
    </row>
    <row r="86" spans="1:4" ht="14.5" x14ac:dyDescent="0.35">
      <c r="A86">
        <v>2098</v>
      </c>
      <c r="B86" s="1" t="s">
        <v>71</v>
      </c>
      <c r="C86">
        <v>2097.8000000000002</v>
      </c>
    </row>
    <row r="87" spans="1:4" ht="14.5" x14ac:dyDescent="0.35">
      <c r="A87">
        <v>2099</v>
      </c>
      <c r="B87" s="1" t="s">
        <v>72</v>
      </c>
    </row>
    <row r="88" spans="1:4" ht="14.5" x14ac:dyDescent="0.35">
      <c r="A88">
        <v>2100</v>
      </c>
      <c r="B88" s="1" t="s">
        <v>73</v>
      </c>
      <c r="C88">
        <v>6190</v>
      </c>
    </row>
    <row r="89" spans="1:4" ht="14.5" x14ac:dyDescent="0.35">
      <c r="A89">
        <v>2200</v>
      </c>
      <c r="B89" s="1" t="s">
        <v>74</v>
      </c>
      <c r="C89">
        <v>8397.57</v>
      </c>
    </row>
    <row r="90" spans="1:4" ht="14.5" x14ac:dyDescent="0.35">
      <c r="A90">
        <v>2500</v>
      </c>
      <c r="B90" s="1" t="s">
        <v>75</v>
      </c>
      <c r="C90">
        <v>189903.13</v>
      </c>
    </row>
    <row r="91" spans="1:4" ht="14.5" x14ac:dyDescent="0.35">
      <c r="A91">
        <v>2501</v>
      </c>
      <c r="B91" s="1" t="s">
        <v>76</v>
      </c>
    </row>
    <row r="92" spans="1:4" ht="14.5" x14ac:dyDescent="0.35">
      <c r="A92">
        <v>2502</v>
      </c>
      <c r="B92" s="1" t="s">
        <v>77</v>
      </c>
    </row>
    <row r="93" spans="1:4" ht="14.5" x14ac:dyDescent="0.35">
      <c r="A93">
        <v>2530</v>
      </c>
      <c r="B93" s="1" t="s">
        <v>78</v>
      </c>
    </row>
    <row r="94" spans="1:4" ht="14.5" x14ac:dyDescent="0.35">
      <c r="A94">
        <v>2531</v>
      </c>
      <c r="B94" s="1" t="s">
        <v>79</v>
      </c>
    </row>
    <row r="95" spans="1:4" ht="14.5" x14ac:dyDescent="0.35">
      <c r="A95">
        <v>2533</v>
      </c>
      <c r="B95" s="1" t="s">
        <v>80</v>
      </c>
    </row>
    <row r="96" spans="1:4" ht="14.5" x14ac:dyDescent="0.35">
      <c r="A96">
        <v>2570</v>
      </c>
      <c r="B96" s="1" t="s">
        <v>81</v>
      </c>
    </row>
    <row r="97" spans="1:4" ht="14.5" x14ac:dyDescent="0.35">
      <c r="A97">
        <v>2700</v>
      </c>
      <c r="B97" s="1" t="s">
        <v>82</v>
      </c>
      <c r="C97">
        <v>4361</v>
      </c>
    </row>
    <row r="98" spans="1:4" ht="14.5" x14ac:dyDescent="0.35">
      <c r="A98">
        <v>2701</v>
      </c>
      <c r="B98" s="1" t="s">
        <v>83</v>
      </c>
    </row>
    <row r="99" spans="1:4" ht="14.5" x14ac:dyDescent="0.35">
      <c r="A99">
        <v>2702</v>
      </c>
      <c r="B99" s="1" t="s">
        <v>84</v>
      </c>
    </row>
    <row r="100" spans="1:4" ht="14.5" x14ac:dyDescent="0.35">
      <c r="A100">
        <v>2710</v>
      </c>
      <c r="B100" s="1" t="s">
        <v>85</v>
      </c>
      <c r="C100">
        <v>499.78</v>
      </c>
    </row>
    <row r="101" spans="1:4" ht="14.5" x14ac:dyDescent="0.35">
      <c r="A101">
        <v>2721</v>
      </c>
      <c r="B101" s="1" t="s">
        <v>86</v>
      </c>
      <c r="D101">
        <v>-250</v>
      </c>
    </row>
    <row r="102" spans="1:4" ht="14.5" x14ac:dyDescent="0.35">
      <c r="A102">
        <v>2722</v>
      </c>
      <c r="B102" s="1" t="s">
        <v>87</v>
      </c>
      <c r="D102">
        <v>-250</v>
      </c>
    </row>
    <row r="103" spans="1:4" ht="14.5" x14ac:dyDescent="0.35">
      <c r="A103">
        <v>2800</v>
      </c>
      <c r="B103" s="1" t="s">
        <v>88</v>
      </c>
      <c r="C103">
        <v>29162.68</v>
      </c>
    </row>
    <row r="104" spans="1:4" ht="14.5" x14ac:dyDescent="0.35">
      <c r="A104">
        <v>2801</v>
      </c>
      <c r="B104" s="1" t="s">
        <v>89</v>
      </c>
      <c r="C104">
        <v>3945.44</v>
      </c>
    </row>
    <row r="105" spans="1:4" ht="14.5" x14ac:dyDescent="0.35">
      <c r="A105">
        <v>2802</v>
      </c>
      <c r="B105" s="1" t="s">
        <v>90</v>
      </c>
      <c r="C105">
        <v>5044.3999999999996</v>
      </c>
    </row>
    <row r="106" spans="1:4" ht="14.5" x14ac:dyDescent="0.35">
      <c r="A106">
        <v>2803</v>
      </c>
      <c r="B106" s="1" t="s">
        <v>91</v>
      </c>
      <c r="C106">
        <v>100634.73</v>
      </c>
    </row>
    <row r="107" spans="1:4" ht="14.5" x14ac:dyDescent="0.35">
      <c r="A107">
        <v>2810</v>
      </c>
      <c r="B107" s="1" t="s">
        <v>92</v>
      </c>
      <c r="D107">
        <v>0</v>
      </c>
    </row>
    <row r="108" spans="1:4" ht="14.5" x14ac:dyDescent="0.35">
      <c r="A108">
        <v>2820</v>
      </c>
      <c r="B108" s="1" t="s">
        <v>93</v>
      </c>
    </row>
    <row r="109" spans="1:4" ht="14.5" x14ac:dyDescent="0.35">
      <c r="A109">
        <v>2821</v>
      </c>
      <c r="B109" s="1" t="s">
        <v>94</v>
      </c>
      <c r="C109">
        <v>15000.52</v>
      </c>
    </row>
    <row r="110" spans="1:4" ht="14.5" x14ac:dyDescent="0.35">
      <c r="A110">
        <v>2900</v>
      </c>
      <c r="B110" s="1" t="s">
        <v>95</v>
      </c>
      <c r="C110">
        <v>1942.83</v>
      </c>
    </row>
    <row r="111" spans="1:4" ht="14.5" x14ac:dyDescent="0.35">
      <c r="A111">
        <v>3040</v>
      </c>
      <c r="B111" s="1" t="s">
        <v>96</v>
      </c>
      <c r="D111">
        <v>-2000</v>
      </c>
    </row>
    <row r="112" spans="1:4" ht="14.5" x14ac:dyDescent="0.35">
      <c r="A112">
        <v>3042</v>
      </c>
      <c r="B112" s="1" t="s">
        <v>97</v>
      </c>
      <c r="D112">
        <v>-8809.36</v>
      </c>
    </row>
    <row r="113" spans="1:4" ht="14.5" x14ac:dyDescent="0.35">
      <c r="A113">
        <v>3300</v>
      </c>
      <c r="B113" s="1" t="s">
        <v>98</v>
      </c>
      <c r="D113">
        <v>-92883.5</v>
      </c>
    </row>
    <row r="114" spans="1:4" ht="14.5" x14ac:dyDescent="0.35">
      <c r="A114">
        <v>3310</v>
      </c>
      <c r="B114" s="1" t="s">
        <v>99</v>
      </c>
      <c r="D114">
        <v>-3809.17</v>
      </c>
    </row>
    <row r="115" spans="1:4" ht="14.5" x14ac:dyDescent="0.35">
      <c r="A115">
        <v>3360</v>
      </c>
      <c r="B115" s="1" t="s">
        <v>100</v>
      </c>
    </row>
    <row r="116" spans="1:4" ht="14.5" x14ac:dyDescent="0.35">
      <c r="A116">
        <v>3500</v>
      </c>
      <c r="B116" s="1" t="s">
        <v>101</v>
      </c>
      <c r="D116">
        <v>-58478.28</v>
      </c>
    </row>
    <row r="117" spans="1:4" ht="14.5" x14ac:dyDescent="0.35">
      <c r="A117">
        <v>3501</v>
      </c>
      <c r="B117" s="1" t="s">
        <v>102</v>
      </c>
    </row>
    <row r="118" spans="1:4" ht="14.5" x14ac:dyDescent="0.35">
      <c r="A118">
        <v>3502</v>
      </c>
      <c r="B118" s="1" t="s">
        <v>103</v>
      </c>
    </row>
    <row r="119" spans="1:4" ht="14.5" x14ac:dyDescent="0.35">
      <c r="A119">
        <v>3520</v>
      </c>
      <c r="B119" s="1" t="s">
        <v>104</v>
      </c>
      <c r="D119">
        <v>-86753.11</v>
      </c>
    </row>
    <row r="120" spans="1:4" ht="14.5" x14ac:dyDescent="0.35">
      <c r="A120">
        <v>3522</v>
      </c>
      <c r="B120" s="1" t="s">
        <v>105</v>
      </c>
    </row>
    <row r="121" spans="1:4" ht="14.5" x14ac:dyDescent="0.35">
      <c r="A121">
        <v>3530</v>
      </c>
      <c r="B121" s="1" t="s">
        <v>106</v>
      </c>
      <c r="D121">
        <v>-25526</v>
      </c>
    </row>
    <row r="122" spans="1:4" ht="14.5" x14ac:dyDescent="0.35">
      <c r="A122">
        <v>3531</v>
      </c>
      <c r="B122" s="1" t="s">
        <v>107</v>
      </c>
    </row>
    <row r="123" spans="1:4" ht="14.5" x14ac:dyDescent="0.35">
      <c r="A123">
        <v>3532</v>
      </c>
      <c r="B123" s="1" t="s">
        <v>108</v>
      </c>
    </row>
    <row r="124" spans="1:4" ht="14.5" x14ac:dyDescent="0.35">
      <c r="A124">
        <v>3540</v>
      </c>
      <c r="B124" s="1" t="s">
        <v>109</v>
      </c>
      <c r="D124">
        <v>-4776.26</v>
      </c>
    </row>
    <row r="125" spans="1:4" ht="14.5" x14ac:dyDescent="0.35">
      <c r="A125">
        <v>3550</v>
      </c>
      <c r="B125" s="1" t="s">
        <v>110</v>
      </c>
      <c r="D125">
        <v>-1063.8699999999999</v>
      </c>
    </row>
    <row r="126" spans="1:4" ht="14.5" x14ac:dyDescent="0.35">
      <c r="A126">
        <v>3600</v>
      </c>
      <c r="B126" s="1" t="s">
        <v>111</v>
      </c>
      <c r="D126">
        <v>-5542.45</v>
      </c>
    </row>
    <row r="127" spans="1:4" ht="14.5" x14ac:dyDescent="0.35">
      <c r="A127">
        <v>3690</v>
      </c>
      <c r="B127" s="1" t="s">
        <v>112</v>
      </c>
      <c r="D127">
        <v>0</v>
      </c>
    </row>
    <row r="128" spans="1:4" ht="14.5" x14ac:dyDescent="0.35">
      <c r="A128">
        <v>3750</v>
      </c>
      <c r="B128" s="1" t="s">
        <v>113</v>
      </c>
      <c r="D128">
        <v>-199758.99</v>
      </c>
    </row>
    <row r="129" spans="1:4" ht="14.5" x14ac:dyDescent="0.35">
      <c r="A129">
        <v>3760</v>
      </c>
      <c r="B129" s="1" t="s">
        <v>114</v>
      </c>
      <c r="D129">
        <v>-879888</v>
      </c>
    </row>
    <row r="130" spans="1:4" ht="14.5" x14ac:dyDescent="0.35">
      <c r="A130">
        <v>3770</v>
      </c>
      <c r="B130" s="1" t="s">
        <v>115</v>
      </c>
      <c r="D130">
        <v>-50000</v>
      </c>
    </row>
    <row r="131" spans="1:4" ht="14.5" x14ac:dyDescent="0.35">
      <c r="A131">
        <v>3880</v>
      </c>
      <c r="B131" s="1" t="s">
        <v>116</v>
      </c>
      <c r="C131">
        <v>766.11</v>
      </c>
    </row>
    <row r="132" spans="1:4" ht="14.5" x14ac:dyDescent="0.35">
      <c r="A132">
        <v>3881</v>
      </c>
      <c r="B132" s="1" t="s">
        <v>117</v>
      </c>
      <c r="D132">
        <v>-360</v>
      </c>
    </row>
    <row r="133" spans="1:4" ht="14.5" x14ac:dyDescent="0.35">
      <c r="A133">
        <v>3900</v>
      </c>
      <c r="B133" s="1" t="s">
        <v>118</v>
      </c>
      <c r="D133">
        <v>-510</v>
      </c>
    </row>
    <row r="134" spans="1:4" ht="14.5" x14ac:dyDescent="0.35">
      <c r="A134">
        <v>3950</v>
      </c>
      <c r="B134" s="1" t="s">
        <v>119</v>
      </c>
      <c r="D134">
        <v>-2214.5500000000002</v>
      </c>
    </row>
    <row r="135" spans="1:4" ht="14.5" x14ac:dyDescent="0.35">
      <c r="A135">
        <v>3951</v>
      </c>
      <c r="B135" s="1" t="s">
        <v>120</v>
      </c>
      <c r="D135">
        <v>-100</v>
      </c>
    </row>
    <row r="136" spans="1:4" ht="14.5" x14ac:dyDescent="0.35">
      <c r="A136">
        <v>3955</v>
      </c>
      <c r="B136" s="1" t="s">
        <v>121</v>
      </c>
      <c r="D136">
        <v>-33517.07</v>
      </c>
    </row>
    <row r="137" spans="1:4" ht="14.5" x14ac:dyDescent="0.35">
      <c r="A137">
        <v>4000</v>
      </c>
      <c r="B137" s="1" t="s">
        <v>122</v>
      </c>
      <c r="D137">
        <v>-60944.45</v>
      </c>
    </row>
    <row r="138" spans="1:4" ht="14.5" x14ac:dyDescent="0.35">
      <c r="A138">
        <v>4010</v>
      </c>
      <c r="B138" s="1" t="s">
        <v>123</v>
      </c>
      <c r="D138">
        <v>-321312.46000000002</v>
      </c>
    </row>
    <row r="139" spans="1:4" ht="14.5" x14ac:dyDescent="0.35">
      <c r="A139">
        <v>4020</v>
      </c>
      <c r="B139" s="1" t="s">
        <v>5</v>
      </c>
      <c r="D139">
        <v>-56295.17</v>
      </c>
    </row>
    <row r="140" spans="1:4" ht="14.5" x14ac:dyDescent="0.35">
      <c r="A140">
        <v>4033</v>
      </c>
      <c r="B140" s="1" t="s">
        <v>124</v>
      </c>
      <c r="D140">
        <v>-879.7</v>
      </c>
    </row>
    <row r="141" spans="1:4" ht="14.5" x14ac:dyDescent="0.35">
      <c r="A141">
        <v>4040</v>
      </c>
      <c r="B141" s="1" t="s">
        <v>125</v>
      </c>
      <c r="D141">
        <v>-10175.870000000001</v>
      </c>
    </row>
    <row r="142" spans="1:4" ht="14.5" x14ac:dyDescent="0.35">
      <c r="A142">
        <v>4064</v>
      </c>
      <c r="B142" s="1" t="s">
        <v>126</v>
      </c>
      <c r="D142">
        <v>-3333.33</v>
      </c>
    </row>
    <row r="143" spans="1:4" ht="14.5" x14ac:dyDescent="0.35">
      <c r="A143">
        <v>4120</v>
      </c>
      <c r="B143" s="1" t="s">
        <v>127</v>
      </c>
      <c r="D143">
        <v>-17625.740000000002</v>
      </c>
    </row>
    <row r="144" spans="1:4" ht="14.5" x14ac:dyDescent="0.35">
      <c r="A144">
        <v>4350</v>
      </c>
      <c r="B144" s="1" t="s">
        <v>128</v>
      </c>
    </row>
    <row r="145" spans="1:4" ht="14.5" x14ac:dyDescent="0.35">
      <c r="A145">
        <v>4352</v>
      </c>
      <c r="B145" s="1" t="s">
        <v>129</v>
      </c>
      <c r="D145">
        <v>-1238</v>
      </c>
    </row>
    <row r="146" spans="1:4" ht="14.5" x14ac:dyDescent="0.35">
      <c r="A146">
        <v>4356</v>
      </c>
      <c r="B146" s="1" t="s">
        <v>130</v>
      </c>
      <c r="D146">
        <v>-2500</v>
      </c>
    </row>
    <row r="147" spans="1:4" ht="14.5" x14ac:dyDescent="0.35">
      <c r="A147">
        <v>4500</v>
      </c>
      <c r="B147" s="1" t="s">
        <v>131</v>
      </c>
    </row>
    <row r="148" spans="1:4" ht="14.5" x14ac:dyDescent="0.35">
      <c r="A148">
        <v>4700</v>
      </c>
      <c r="B148" s="1" t="s">
        <v>132</v>
      </c>
      <c r="D148">
        <v>-6643</v>
      </c>
    </row>
    <row r="149" spans="1:4" ht="14.5" x14ac:dyDescent="0.35">
      <c r="A149">
        <v>4810</v>
      </c>
      <c r="B149" s="1" t="s">
        <v>133</v>
      </c>
    </row>
    <row r="150" spans="1:4" ht="14.5" x14ac:dyDescent="0.35">
      <c r="A150">
        <v>4830</v>
      </c>
      <c r="B150" s="1" t="s">
        <v>134</v>
      </c>
    </row>
    <row r="151" spans="1:4" ht="29" x14ac:dyDescent="0.35">
      <c r="A151">
        <v>4831</v>
      </c>
      <c r="B151" s="1" t="s">
        <v>135</v>
      </c>
    </row>
    <row r="152" spans="1:4" ht="14.5" x14ac:dyDescent="0.35">
      <c r="A152">
        <v>4900</v>
      </c>
      <c r="B152" s="1" t="s">
        <v>136</v>
      </c>
    </row>
    <row r="153" spans="1:4" ht="14.5" x14ac:dyDescent="0.35">
      <c r="A153">
        <v>4910</v>
      </c>
      <c r="B153" s="1" t="s">
        <v>137</v>
      </c>
    </row>
    <row r="154" spans="1:4" ht="14.5" x14ac:dyDescent="0.35">
      <c r="A154">
        <v>4923</v>
      </c>
      <c r="B154" s="1" t="s">
        <v>138</v>
      </c>
    </row>
    <row r="155" spans="1:4" ht="14.5" x14ac:dyDescent="0.35">
      <c r="A155">
        <v>5000</v>
      </c>
      <c r="B155" s="1" t="s">
        <v>139</v>
      </c>
      <c r="C155">
        <v>47609.86</v>
      </c>
    </row>
    <row r="156" spans="1:4" ht="14.5" x14ac:dyDescent="0.35">
      <c r="A156">
        <v>5010</v>
      </c>
      <c r="B156" s="1" t="s">
        <v>140</v>
      </c>
      <c r="C156">
        <v>1193.05</v>
      </c>
    </row>
    <row r="157" spans="1:4" ht="14.5" x14ac:dyDescent="0.35">
      <c r="A157">
        <v>5030</v>
      </c>
      <c r="B157" s="1" t="s">
        <v>141</v>
      </c>
      <c r="C157">
        <v>211260.44</v>
      </c>
    </row>
    <row r="158" spans="1:4" ht="14.5" x14ac:dyDescent="0.35">
      <c r="A158">
        <v>5033</v>
      </c>
      <c r="B158" s="1" t="s">
        <v>142</v>
      </c>
      <c r="C158">
        <v>34977.81</v>
      </c>
    </row>
    <row r="159" spans="1:4" ht="14.5" x14ac:dyDescent="0.35">
      <c r="A159">
        <v>5040</v>
      </c>
      <c r="B159" s="1" t="s">
        <v>143</v>
      </c>
      <c r="C159">
        <v>1000.08</v>
      </c>
    </row>
    <row r="160" spans="1:4" ht="14.5" x14ac:dyDescent="0.35">
      <c r="A160">
        <v>5050</v>
      </c>
      <c r="B160" s="1" t="s">
        <v>144</v>
      </c>
      <c r="D160">
        <v>-1961.96</v>
      </c>
    </row>
    <row r="161" spans="1:4" ht="14.5" x14ac:dyDescent="0.35">
      <c r="A161">
        <v>5310</v>
      </c>
      <c r="B161" s="1" t="s">
        <v>145</v>
      </c>
      <c r="C161">
        <v>77306.73</v>
      </c>
    </row>
    <row r="162" spans="1:4" ht="14.5" x14ac:dyDescent="0.35">
      <c r="A162">
        <v>5320</v>
      </c>
      <c r="B162" s="1" t="s">
        <v>146</v>
      </c>
      <c r="C162">
        <v>19176.599999999999</v>
      </c>
    </row>
    <row r="163" spans="1:4" ht="14.5" x14ac:dyDescent="0.35">
      <c r="A163">
        <v>5450</v>
      </c>
      <c r="B163" s="1" t="s">
        <v>147</v>
      </c>
      <c r="C163">
        <v>175.7</v>
      </c>
    </row>
    <row r="164" spans="1:4" ht="14.5" x14ac:dyDescent="0.35">
      <c r="A164">
        <v>5480</v>
      </c>
      <c r="B164" s="1" t="s">
        <v>148</v>
      </c>
      <c r="C164">
        <v>1183.8399999999999</v>
      </c>
    </row>
    <row r="165" spans="1:4" ht="14.5" x14ac:dyDescent="0.35">
      <c r="A165">
        <v>5755</v>
      </c>
      <c r="B165" s="1" t="s">
        <v>149</v>
      </c>
      <c r="C165">
        <v>11.54</v>
      </c>
    </row>
    <row r="166" spans="1:4" ht="14.5" x14ac:dyDescent="0.35">
      <c r="A166">
        <v>5800</v>
      </c>
      <c r="B166" s="1" t="s">
        <v>150</v>
      </c>
      <c r="D166">
        <v>-12352.9</v>
      </c>
    </row>
    <row r="167" spans="1:4" ht="14.5" x14ac:dyDescent="0.35">
      <c r="A167">
        <v>5801</v>
      </c>
      <c r="B167" s="1" t="s">
        <v>151</v>
      </c>
    </row>
    <row r="168" spans="1:4" ht="14.5" x14ac:dyDescent="0.35">
      <c r="A168">
        <v>5802</v>
      </c>
      <c r="B168" s="1" t="s">
        <v>152</v>
      </c>
    </row>
    <row r="169" spans="1:4" ht="14.5" x14ac:dyDescent="0.35">
      <c r="A169">
        <v>6200</v>
      </c>
      <c r="B169" s="1" t="s">
        <v>153</v>
      </c>
      <c r="C169">
        <v>141468.49</v>
      </c>
    </row>
    <row r="170" spans="1:4" ht="14.5" x14ac:dyDescent="0.35">
      <c r="A170">
        <v>6205</v>
      </c>
      <c r="B170" s="1" t="s">
        <v>154</v>
      </c>
    </row>
    <row r="171" spans="1:4" ht="14.5" x14ac:dyDescent="0.35">
      <c r="A171">
        <v>6210</v>
      </c>
      <c r="B171" s="1" t="s">
        <v>155</v>
      </c>
    </row>
    <row r="172" spans="1:4" ht="14.5" x14ac:dyDescent="0.35">
      <c r="A172">
        <v>6225</v>
      </c>
      <c r="B172" s="1" t="s">
        <v>156</v>
      </c>
    </row>
    <row r="173" spans="1:4" ht="14.5" x14ac:dyDescent="0.35">
      <c r="A173">
        <v>6230</v>
      </c>
      <c r="B173" s="1" t="s">
        <v>157</v>
      </c>
    </row>
    <row r="174" spans="1:4" ht="14.5" x14ac:dyDescent="0.35">
      <c r="A174">
        <v>6240</v>
      </c>
      <c r="B174" s="1" t="s">
        <v>158</v>
      </c>
      <c r="C174">
        <v>21543.96</v>
      </c>
    </row>
    <row r="175" spans="1:4" ht="14.5" x14ac:dyDescent="0.35">
      <c r="A175">
        <v>6242</v>
      </c>
      <c r="B175" s="1" t="s">
        <v>159</v>
      </c>
    </row>
    <row r="176" spans="1:4" ht="14.5" x14ac:dyDescent="0.35">
      <c r="A176">
        <v>6250</v>
      </c>
      <c r="B176" s="1" t="s">
        <v>160</v>
      </c>
    </row>
    <row r="177" spans="1:3" ht="14.5" x14ac:dyDescent="0.35">
      <c r="A177">
        <v>6260</v>
      </c>
      <c r="B177" s="1" t="s">
        <v>161</v>
      </c>
    </row>
    <row r="178" spans="1:3" ht="14.5" x14ac:dyDescent="0.35">
      <c r="A178">
        <v>6270</v>
      </c>
      <c r="B178" s="1" t="s">
        <v>162</v>
      </c>
    </row>
    <row r="179" spans="1:3" ht="14.5" x14ac:dyDescent="0.35">
      <c r="A179">
        <v>6271</v>
      </c>
      <c r="B179" s="1" t="s">
        <v>163</v>
      </c>
    </row>
    <row r="180" spans="1:3" ht="14.5" x14ac:dyDescent="0.35">
      <c r="A180">
        <v>6290</v>
      </c>
      <c r="B180" s="1" t="s">
        <v>164</v>
      </c>
    </row>
    <row r="181" spans="1:3" ht="14.5" x14ac:dyDescent="0.35">
      <c r="A181">
        <v>6310</v>
      </c>
      <c r="B181" s="1" t="s">
        <v>165</v>
      </c>
    </row>
    <row r="182" spans="1:3" ht="14.5" x14ac:dyDescent="0.35">
      <c r="A182">
        <v>6330</v>
      </c>
      <c r="B182" s="1" t="s">
        <v>166</v>
      </c>
    </row>
    <row r="183" spans="1:3" ht="14.5" x14ac:dyDescent="0.35">
      <c r="A183">
        <v>6340</v>
      </c>
      <c r="B183" s="1" t="s">
        <v>167</v>
      </c>
    </row>
    <row r="184" spans="1:3" ht="14.5" x14ac:dyDescent="0.35">
      <c r="A184">
        <v>6400</v>
      </c>
      <c r="B184" s="1" t="s">
        <v>168</v>
      </c>
      <c r="C184">
        <v>2380.3000000000002</v>
      </c>
    </row>
    <row r="185" spans="1:3" ht="14.5" x14ac:dyDescent="0.35">
      <c r="A185">
        <v>6560</v>
      </c>
      <c r="B185" s="1" t="s">
        <v>169</v>
      </c>
      <c r="C185">
        <v>32521.86</v>
      </c>
    </row>
    <row r="186" spans="1:3" ht="14.5" x14ac:dyDescent="0.35">
      <c r="A186">
        <v>6605</v>
      </c>
      <c r="B186" s="1" t="s">
        <v>170</v>
      </c>
    </row>
    <row r="187" spans="1:3" ht="14.5" x14ac:dyDescent="0.35">
      <c r="A187">
        <v>6621</v>
      </c>
      <c r="B187" s="1" t="s">
        <v>171</v>
      </c>
      <c r="C187">
        <v>3712.24</v>
      </c>
    </row>
    <row r="188" spans="1:3" ht="14.5" x14ac:dyDescent="0.35">
      <c r="A188">
        <v>6630</v>
      </c>
      <c r="B188" s="1" t="s">
        <v>172</v>
      </c>
    </row>
    <row r="189" spans="1:3" ht="14.5" x14ac:dyDescent="0.35">
      <c r="A189">
        <v>6631</v>
      </c>
      <c r="B189" s="1" t="s">
        <v>173</v>
      </c>
      <c r="C189">
        <v>361.18</v>
      </c>
    </row>
    <row r="190" spans="1:3" ht="14.5" x14ac:dyDescent="0.35">
      <c r="A190">
        <v>6641</v>
      </c>
      <c r="B190" s="1" t="s">
        <v>174</v>
      </c>
      <c r="C190">
        <v>4890.3599999999997</v>
      </c>
    </row>
    <row r="191" spans="1:3" ht="14.5" x14ac:dyDescent="0.35">
      <c r="A191">
        <v>6651</v>
      </c>
      <c r="B191" s="1" t="s">
        <v>175</v>
      </c>
      <c r="C191">
        <v>470</v>
      </c>
    </row>
    <row r="192" spans="1:3" ht="14.5" x14ac:dyDescent="0.35">
      <c r="A192">
        <v>6660</v>
      </c>
      <c r="B192" s="1" t="s">
        <v>176</v>
      </c>
    </row>
    <row r="193" spans="1:3" ht="14.5" x14ac:dyDescent="0.35">
      <c r="A193">
        <v>6661</v>
      </c>
      <c r="B193" s="1" t="s">
        <v>177</v>
      </c>
    </row>
    <row r="194" spans="1:3" ht="14.5" x14ac:dyDescent="0.35">
      <c r="A194">
        <v>6662</v>
      </c>
      <c r="B194" s="1" t="s">
        <v>178</v>
      </c>
    </row>
    <row r="195" spans="1:3" ht="14.5" x14ac:dyDescent="0.35">
      <c r="A195">
        <v>6663</v>
      </c>
      <c r="B195" s="1" t="s">
        <v>179</v>
      </c>
    </row>
    <row r="196" spans="1:3" ht="14.5" x14ac:dyDescent="0.35">
      <c r="A196">
        <v>6700</v>
      </c>
      <c r="B196" s="1" t="s">
        <v>180</v>
      </c>
      <c r="C196">
        <v>86.36</v>
      </c>
    </row>
    <row r="197" spans="1:3" ht="14.5" x14ac:dyDescent="0.35">
      <c r="A197">
        <v>6900</v>
      </c>
      <c r="B197" s="1" t="s">
        <v>181</v>
      </c>
    </row>
    <row r="198" spans="1:3" ht="29" x14ac:dyDescent="0.35">
      <c r="A198">
        <v>7000</v>
      </c>
      <c r="B198" s="1" t="s">
        <v>182</v>
      </c>
    </row>
    <row r="199" spans="1:3" ht="14.5" x14ac:dyDescent="0.35">
      <c r="A199">
        <v>7020</v>
      </c>
      <c r="B199" s="1" t="s">
        <v>183</v>
      </c>
    </row>
    <row r="200" spans="1:3" ht="14.5" x14ac:dyDescent="0.35">
      <c r="A200">
        <v>7021</v>
      </c>
      <c r="B200" s="1" t="s">
        <v>184</v>
      </c>
      <c r="C200">
        <v>5731.39</v>
      </c>
    </row>
    <row r="201" spans="1:3" ht="14.5" x14ac:dyDescent="0.35">
      <c r="A201">
        <v>7140</v>
      </c>
      <c r="B201" s="1" t="s">
        <v>185</v>
      </c>
      <c r="C201">
        <v>4.0999999999999996</v>
      </c>
    </row>
    <row r="202" spans="1:3" ht="14.5" x14ac:dyDescent="0.35">
      <c r="A202">
        <v>7180</v>
      </c>
      <c r="B202" s="1" t="s">
        <v>186</v>
      </c>
      <c r="C202">
        <v>3883.2</v>
      </c>
    </row>
    <row r="203" spans="1:3" ht="14.5" x14ac:dyDescent="0.35">
      <c r="A203">
        <v>7200</v>
      </c>
      <c r="B203" s="1" t="s">
        <v>187</v>
      </c>
      <c r="C203">
        <v>30529.05</v>
      </c>
    </row>
    <row r="204" spans="1:3" ht="14.5" x14ac:dyDescent="0.35">
      <c r="A204">
        <v>7206</v>
      </c>
      <c r="B204" s="1" t="s">
        <v>188</v>
      </c>
      <c r="C204">
        <v>11178.44</v>
      </c>
    </row>
    <row r="205" spans="1:3" ht="14.5" x14ac:dyDescent="0.35">
      <c r="A205">
        <v>7210</v>
      </c>
      <c r="B205" s="1" t="s">
        <v>189</v>
      </c>
      <c r="C205">
        <v>150</v>
      </c>
    </row>
    <row r="206" spans="1:3" ht="14.5" x14ac:dyDescent="0.35">
      <c r="A206">
        <v>7215</v>
      </c>
      <c r="B206" s="1" t="s">
        <v>190</v>
      </c>
      <c r="C206">
        <v>1101.06</v>
      </c>
    </row>
    <row r="207" spans="1:3" ht="14.5" x14ac:dyDescent="0.35">
      <c r="A207">
        <v>7230</v>
      </c>
      <c r="B207" s="1" t="s">
        <v>191</v>
      </c>
      <c r="C207">
        <v>5669.76</v>
      </c>
    </row>
    <row r="208" spans="1:3" ht="14.5" x14ac:dyDescent="0.35">
      <c r="A208">
        <v>7235</v>
      </c>
      <c r="B208" s="1" t="s">
        <v>192</v>
      </c>
      <c r="C208">
        <v>3510.89</v>
      </c>
    </row>
    <row r="209" spans="1:3" ht="14.5" x14ac:dyDescent="0.35">
      <c r="A209">
        <v>7300</v>
      </c>
      <c r="B209" s="1" t="s">
        <v>193</v>
      </c>
      <c r="C209">
        <v>3221.98</v>
      </c>
    </row>
    <row r="210" spans="1:3" ht="14.5" x14ac:dyDescent="0.35">
      <c r="A210">
        <v>7381</v>
      </c>
      <c r="B210" s="1" t="s">
        <v>194</v>
      </c>
      <c r="C210">
        <v>632.89</v>
      </c>
    </row>
    <row r="211" spans="1:3" ht="14.5" x14ac:dyDescent="0.35">
      <c r="A211">
        <v>7382</v>
      </c>
      <c r="B211" s="1" t="s">
        <v>195</v>
      </c>
      <c r="C211">
        <v>75</v>
      </c>
    </row>
    <row r="212" spans="1:3" ht="14.5" x14ac:dyDescent="0.35">
      <c r="A212">
        <v>7390</v>
      </c>
      <c r="B212" s="1" t="s">
        <v>196</v>
      </c>
      <c r="C212">
        <v>1352.24</v>
      </c>
    </row>
    <row r="213" spans="1:3" ht="14.5" x14ac:dyDescent="0.35">
      <c r="A213">
        <v>7400</v>
      </c>
      <c r="B213" s="1" t="s">
        <v>197</v>
      </c>
      <c r="C213">
        <v>76718.53</v>
      </c>
    </row>
    <row r="214" spans="1:3" ht="14.5" x14ac:dyDescent="0.35">
      <c r="A214">
        <v>7540</v>
      </c>
      <c r="B214" s="1" t="s">
        <v>198</v>
      </c>
    </row>
    <row r="215" spans="1:3" ht="14.5" x14ac:dyDescent="0.35">
      <c r="A215">
        <v>7600</v>
      </c>
      <c r="B215" s="1" t="s">
        <v>199</v>
      </c>
      <c r="C215">
        <v>3907.71</v>
      </c>
    </row>
    <row r="216" spans="1:3" ht="14.5" x14ac:dyDescent="0.35">
      <c r="A216">
        <v>7610</v>
      </c>
      <c r="B216" s="1" t="s">
        <v>200</v>
      </c>
    </row>
    <row r="217" spans="1:3" ht="14.5" x14ac:dyDescent="0.35">
      <c r="A217">
        <v>7630</v>
      </c>
      <c r="B217" s="1" t="s">
        <v>201</v>
      </c>
    </row>
    <row r="218" spans="1:3" ht="14.5" x14ac:dyDescent="0.35">
      <c r="A218">
        <v>7649</v>
      </c>
      <c r="B218" s="1" t="s">
        <v>202</v>
      </c>
      <c r="C218">
        <v>684.82</v>
      </c>
    </row>
    <row r="219" spans="1:3" ht="14.5" x14ac:dyDescent="0.35">
      <c r="A219">
        <v>7650</v>
      </c>
      <c r="B219" s="1" t="s">
        <v>203</v>
      </c>
      <c r="C219">
        <v>275.33999999999997</v>
      </c>
    </row>
    <row r="220" spans="1:3" ht="14.5" x14ac:dyDescent="0.35">
      <c r="A220">
        <v>7651</v>
      </c>
      <c r="B220" s="1" t="s">
        <v>204</v>
      </c>
      <c r="C220">
        <v>554</v>
      </c>
    </row>
    <row r="221" spans="1:3" ht="14.5" x14ac:dyDescent="0.35">
      <c r="A221">
        <v>7652</v>
      </c>
      <c r="B221" s="1" t="s">
        <v>205</v>
      </c>
    </row>
    <row r="222" spans="1:3" ht="14.5" x14ac:dyDescent="0.35">
      <c r="A222">
        <v>7653</v>
      </c>
      <c r="B222" s="1" t="s">
        <v>206</v>
      </c>
    </row>
    <row r="223" spans="1:3" ht="14.5" x14ac:dyDescent="0.35">
      <c r="A223">
        <v>7690</v>
      </c>
      <c r="B223" s="1" t="s">
        <v>129</v>
      </c>
    </row>
    <row r="224" spans="1:3" ht="14.5" x14ac:dyDescent="0.35">
      <c r="A224">
        <v>7695</v>
      </c>
      <c r="B224" s="1" t="s">
        <v>207</v>
      </c>
    </row>
    <row r="225" spans="1:3" ht="14.5" x14ac:dyDescent="0.35">
      <c r="A225">
        <v>7696</v>
      </c>
      <c r="B225" s="1" t="s">
        <v>208</v>
      </c>
      <c r="C225">
        <v>191.31</v>
      </c>
    </row>
    <row r="226" spans="1:3" ht="14.5" x14ac:dyDescent="0.35">
      <c r="A226">
        <v>7700</v>
      </c>
      <c r="B226" s="1" t="s">
        <v>209</v>
      </c>
      <c r="C226">
        <v>3409.08</v>
      </c>
    </row>
    <row r="227" spans="1:3" ht="14.5" x14ac:dyDescent="0.35">
      <c r="A227">
        <v>7720</v>
      </c>
      <c r="B227" s="1" t="s">
        <v>210</v>
      </c>
    </row>
    <row r="228" spans="1:3" ht="14.5" x14ac:dyDescent="0.35">
      <c r="A228">
        <v>7740</v>
      </c>
      <c r="B228" s="1" t="s">
        <v>211</v>
      </c>
      <c r="C228">
        <v>574</v>
      </c>
    </row>
    <row r="229" spans="1:3" ht="14.5" x14ac:dyDescent="0.35">
      <c r="A229">
        <v>7745</v>
      </c>
      <c r="B229" s="1" t="s">
        <v>212</v>
      </c>
      <c r="C229">
        <v>4160</v>
      </c>
    </row>
    <row r="230" spans="1:3" ht="14.5" x14ac:dyDescent="0.35">
      <c r="A230">
        <v>7750</v>
      </c>
      <c r="B230" s="1" t="s">
        <v>213</v>
      </c>
      <c r="C230">
        <v>632.15</v>
      </c>
    </row>
    <row r="231" spans="1:3" ht="14.5" x14ac:dyDescent="0.35">
      <c r="A231">
        <v>7755</v>
      </c>
      <c r="B231" s="1" t="s">
        <v>214</v>
      </c>
    </row>
    <row r="232" spans="1:3" ht="14.5" x14ac:dyDescent="0.35">
      <c r="A232">
        <v>7765</v>
      </c>
      <c r="B232" s="1" t="s">
        <v>215</v>
      </c>
      <c r="C232">
        <v>508</v>
      </c>
    </row>
    <row r="233" spans="1:3" ht="14.5" x14ac:dyDescent="0.35">
      <c r="A233">
        <v>7775</v>
      </c>
      <c r="B233" s="1" t="s">
        <v>216</v>
      </c>
    </row>
    <row r="234" spans="1:3" ht="14.5" x14ac:dyDescent="0.35">
      <c r="A234">
        <v>7785</v>
      </c>
      <c r="B234" s="1" t="s">
        <v>128</v>
      </c>
      <c r="C234">
        <v>2183.17</v>
      </c>
    </row>
    <row r="235" spans="1:3" ht="14.5" x14ac:dyDescent="0.35">
      <c r="A235">
        <v>7790</v>
      </c>
      <c r="B235" s="1" t="s">
        <v>217</v>
      </c>
      <c r="C235">
        <v>2726.49</v>
      </c>
    </row>
    <row r="236" spans="1:3" ht="14.5" x14ac:dyDescent="0.35">
      <c r="A236">
        <v>7791</v>
      </c>
      <c r="B236" s="1" t="s">
        <v>218</v>
      </c>
      <c r="C236">
        <v>2521.91</v>
      </c>
    </row>
    <row r="237" spans="1:3" ht="14.5" x14ac:dyDescent="0.35">
      <c r="A237">
        <v>7795</v>
      </c>
      <c r="B237" s="1" t="s">
        <v>219</v>
      </c>
      <c r="C237">
        <v>1606.83</v>
      </c>
    </row>
    <row r="238" spans="1:3" ht="14.5" x14ac:dyDescent="0.35">
      <c r="A238">
        <v>7800</v>
      </c>
      <c r="B238" s="1" t="s">
        <v>220</v>
      </c>
    </row>
    <row r="239" spans="1:3" ht="14.5" x14ac:dyDescent="0.35">
      <c r="A239">
        <v>7810</v>
      </c>
      <c r="B239" s="1" t="s">
        <v>221</v>
      </c>
    </row>
    <row r="240" spans="1:3" ht="14.5" x14ac:dyDescent="0.35">
      <c r="A240">
        <v>7840</v>
      </c>
      <c r="B240" s="1" t="s">
        <v>222</v>
      </c>
      <c r="C240">
        <v>1809.45</v>
      </c>
    </row>
    <row r="241" spans="1:4" ht="14.5" x14ac:dyDescent="0.35">
      <c r="A241">
        <v>7851</v>
      </c>
      <c r="B241" s="1" t="s">
        <v>133</v>
      </c>
      <c r="C241">
        <v>29.99</v>
      </c>
    </row>
    <row r="242" spans="1:4" ht="14.5" x14ac:dyDescent="0.35">
      <c r="A242">
        <v>8100</v>
      </c>
      <c r="B242" s="1" t="s">
        <v>223</v>
      </c>
      <c r="D242">
        <v>-4521.0200000000004</v>
      </c>
    </row>
    <row r="243" spans="1:4" ht="14.5" x14ac:dyDescent="0.35">
      <c r="A243">
        <v>8310</v>
      </c>
      <c r="B243" s="1" t="s">
        <v>224</v>
      </c>
      <c r="C243">
        <v>5686.35</v>
      </c>
    </row>
    <row r="244" spans="1:4" ht="14.5" x14ac:dyDescent="0.35">
      <c r="A244">
        <v>8320</v>
      </c>
      <c r="B244" s="1" t="s">
        <v>225</v>
      </c>
      <c r="C244">
        <v>34.6</v>
      </c>
    </row>
    <row r="245" spans="1:4" ht="14.5" x14ac:dyDescent="0.35">
      <c r="A245">
        <v>8530</v>
      </c>
      <c r="B245" s="1" t="s">
        <v>226</v>
      </c>
    </row>
    <row r="246" spans="1:4" ht="14.5" x14ac:dyDescent="0.35">
      <c r="A246">
        <v>8540</v>
      </c>
      <c r="B246" s="1" t="s">
        <v>227</v>
      </c>
    </row>
    <row r="247" spans="1:4" ht="14.5" x14ac:dyDescent="0.35">
      <c r="A247">
        <v>8990</v>
      </c>
      <c r="B247" s="1" t="s">
        <v>228</v>
      </c>
    </row>
    <row r="248" spans="1:4" ht="14.5" x14ac:dyDescent="0.35">
      <c r="A248">
        <v>9000</v>
      </c>
      <c r="B248" s="1" t="s">
        <v>229</v>
      </c>
    </row>
    <row r="249" spans="1:4" ht="14.5" x14ac:dyDescent="0.35">
      <c r="A249">
        <v>9100</v>
      </c>
      <c r="B249" s="1" t="s">
        <v>230</v>
      </c>
      <c r="D249">
        <v>-217940</v>
      </c>
    </row>
    <row r="250" spans="1:4" ht="14.5" x14ac:dyDescent="0.35">
      <c r="A250">
        <v>9110</v>
      </c>
      <c r="B250" s="1" t="s">
        <v>231</v>
      </c>
      <c r="D250">
        <v>-35000</v>
      </c>
    </row>
    <row r="251" spans="1:4" ht="14.5" x14ac:dyDescent="0.35">
      <c r="A251">
        <v>9111</v>
      </c>
      <c r="B251" s="1" t="s">
        <v>232</v>
      </c>
      <c r="D251">
        <v>-70000</v>
      </c>
    </row>
    <row r="252" spans="1:4" ht="14.5" x14ac:dyDescent="0.35">
      <c r="A252">
        <v>9112</v>
      </c>
      <c r="B252" s="1" t="s">
        <v>233</v>
      </c>
      <c r="D252">
        <v>-25000</v>
      </c>
    </row>
    <row r="253" spans="1:4" ht="14.5" x14ac:dyDescent="0.35">
      <c r="A253">
        <v>9113</v>
      </c>
      <c r="B253" s="1" t="s">
        <v>234</v>
      </c>
      <c r="D253">
        <v>-5480</v>
      </c>
    </row>
    <row r="254" spans="1:4" ht="14.5" x14ac:dyDescent="0.35">
      <c r="A254">
        <v>9114</v>
      </c>
      <c r="B254" s="1" t="s">
        <v>235</v>
      </c>
      <c r="D254">
        <v>-1629</v>
      </c>
    </row>
    <row r="255" spans="1:4" ht="14.5" x14ac:dyDescent="0.35">
      <c r="A255">
        <v>9115</v>
      </c>
      <c r="B255" s="1" t="s">
        <v>236</v>
      </c>
      <c r="D255">
        <v>-20500</v>
      </c>
    </row>
    <row r="256" spans="1:4" ht="14.5" x14ac:dyDescent="0.35">
      <c r="A256">
        <v>9136</v>
      </c>
      <c r="B256" s="1" t="s">
        <v>237</v>
      </c>
    </row>
    <row r="257" spans="1:3" ht="14.5" x14ac:dyDescent="0.35">
      <c r="A257">
        <v>9137</v>
      </c>
      <c r="B257" s="1" t="s">
        <v>238</v>
      </c>
    </row>
    <row r="258" spans="1:3" ht="14.5" x14ac:dyDescent="0.35">
      <c r="A258">
        <v>9190</v>
      </c>
      <c r="B258" s="1" t="s">
        <v>239</v>
      </c>
    </row>
    <row r="259" spans="1:3" ht="14.5" x14ac:dyDescent="0.35">
      <c r="A259">
        <v>9390</v>
      </c>
      <c r="B259" s="1" t="s">
        <v>240</v>
      </c>
      <c r="C259">
        <v>142516.21</v>
      </c>
    </row>
    <row r="260" spans="1:3" ht="14.5" x14ac:dyDescent="0.35">
      <c r="A260">
        <v>9613</v>
      </c>
      <c r="B260" s="1" t="s">
        <v>241</v>
      </c>
    </row>
    <row r="261" spans="1:3" ht="14.5" x14ac:dyDescent="0.35">
      <c r="A261">
        <v>9800</v>
      </c>
      <c r="B261" s="1" t="s">
        <v>242</v>
      </c>
    </row>
    <row r="262" spans="1:3" ht="14.5" x14ac:dyDescent="0.35">
      <c r="A262">
        <v>9850</v>
      </c>
      <c r="B262" s="1" t="s">
        <v>243</v>
      </c>
    </row>
    <row r="263" spans="1:3" ht="14.5" x14ac:dyDescent="0.35">
      <c r="A263">
        <v>9890</v>
      </c>
      <c r="B263" s="1" t="s">
        <v>244</v>
      </c>
    </row>
    <row r="264" spans="1:3" ht="14.5" x14ac:dyDescent="0.35">
      <c r="A264">
        <v>9891</v>
      </c>
      <c r="B264" s="1" t="s">
        <v>245</v>
      </c>
    </row>
    <row r="265" spans="1:3" ht="14.5" x14ac:dyDescent="0.35">
      <c r="A265">
        <v>9900</v>
      </c>
    </row>
    <row r="266" spans="1:3" ht="14.5" x14ac:dyDescent="0.35">
      <c r="A266">
        <v>9991</v>
      </c>
      <c r="B266" s="1" t="s">
        <v>246</v>
      </c>
    </row>
    <row r="267" spans="1:3" ht="14.5" x14ac:dyDescent="0.35">
      <c r="A267">
        <v>9992</v>
      </c>
      <c r="B267" s="1" t="s">
        <v>247</v>
      </c>
    </row>
  </sheetData>
  <pageMargins left="0.7" right="0.7" top="0.78749999999999998" bottom="0.78749999999999998" header="0.511811023622047" footer="0.511811023622047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61"/>
  <sheetViews>
    <sheetView view="pageBreakPreview" zoomScaleNormal="100" workbookViewId="0">
      <pane xSplit="2" ySplit="3" topLeftCell="C37" activePane="bottomRight" state="frozen"/>
      <selection pane="topRight" activeCell="C1" sqref="C1"/>
      <selection pane="bottomLeft" activeCell="A13" sqref="A13"/>
      <selection pane="bottomRight" activeCell="H40" sqref="H40"/>
    </sheetView>
  </sheetViews>
  <sheetFormatPr baseColWidth="10" defaultColWidth="10.54296875" defaultRowHeight="14.25" customHeight="1" x14ac:dyDescent="0.35"/>
  <cols>
    <col min="2" max="2" width="57" customWidth="1"/>
    <col min="3" max="3" width="11.54296875" customWidth="1"/>
    <col min="4" max="4" width="11.81640625" customWidth="1"/>
    <col min="6" max="6" width="13.26953125" customWidth="1"/>
    <col min="7" max="7" width="11.26953125" customWidth="1"/>
    <col min="8" max="8" width="13.1796875" customWidth="1"/>
    <col min="9" max="9" width="7.1796875" customWidth="1"/>
    <col min="11" max="11" width="12.54296875" customWidth="1"/>
    <col min="12" max="12" width="14.453125" customWidth="1"/>
    <col min="13" max="13" width="12.453125" customWidth="1"/>
  </cols>
  <sheetData>
    <row r="1" spans="1:16" ht="14.5" x14ac:dyDescent="0.35">
      <c r="A1" t="s">
        <v>248</v>
      </c>
    </row>
    <row r="2" spans="1:16" ht="14.5" x14ac:dyDescent="0.35">
      <c r="C2" t="s">
        <v>249</v>
      </c>
      <c r="F2" t="s">
        <v>250</v>
      </c>
      <c r="K2" t="s">
        <v>251</v>
      </c>
      <c r="O2" t="s">
        <v>252</v>
      </c>
    </row>
    <row r="3" spans="1:16" ht="14.5" x14ac:dyDescent="0.35">
      <c r="C3" t="s">
        <v>253</v>
      </c>
      <c r="F3" t="s">
        <v>254</v>
      </c>
      <c r="K3" t="s">
        <v>255</v>
      </c>
      <c r="O3" t="s">
        <v>256</v>
      </c>
    </row>
    <row r="4" spans="1:16" ht="14.5" x14ac:dyDescent="0.35">
      <c r="C4" s="5"/>
      <c r="D4" s="5"/>
    </row>
    <row r="5" spans="1:16" ht="14.5" x14ac:dyDescent="0.35">
      <c r="C5" s="5" t="s">
        <v>257</v>
      </c>
      <c r="D5" s="5" t="s">
        <v>258</v>
      </c>
      <c r="F5" s="5" t="s">
        <v>257</v>
      </c>
      <c r="G5" s="5" t="s">
        <v>258</v>
      </c>
      <c r="K5" s="5" t="s">
        <v>257</v>
      </c>
      <c r="L5" s="5" t="s">
        <v>258</v>
      </c>
      <c r="O5" t="s">
        <v>257</v>
      </c>
      <c r="P5" t="s">
        <v>259</v>
      </c>
    </row>
    <row r="6" spans="1:16" ht="14.5" x14ac:dyDescent="0.35">
      <c r="C6" s="5"/>
      <c r="D6" s="5"/>
    </row>
    <row r="7" spans="1:16" ht="14.5" x14ac:dyDescent="0.35">
      <c r="A7">
        <v>120</v>
      </c>
      <c r="B7" t="s">
        <v>10</v>
      </c>
      <c r="C7" s="5"/>
      <c r="D7" s="5"/>
      <c r="F7" s="6">
        <v>13700</v>
      </c>
      <c r="G7" s="6"/>
      <c r="K7" s="6">
        <v>13700</v>
      </c>
      <c r="L7" s="6"/>
      <c r="P7">
        <v>-3825.28</v>
      </c>
    </row>
    <row r="8" spans="1:16" ht="14.5" x14ac:dyDescent="0.35">
      <c r="A8">
        <v>129</v>
      </c>
      <c r="B8" t="s">
        <v>12</v>
      </c>
      <c r="C8" s="5"/>
      <c r="D8" s="5"/>
      <c r="F8" s="6"/>
      <c r="G8" s="6">
        <v>-1370</v>
      </c>
      <c r="K8" s="6"/>
      <c r="L8" s="6">
        <v>-1370</v>
      </c>
    </row>
    <row r="9" spans="1:16" ht="14.5" x14ac:dyDescent="0.35">
      <c r="A9">
        <v>360</v>
      </c>
      <c r="B9" t="s">
        <v>260</v>
      </c>
      <c r="C9" s="5"/>
      <c r="D9" s="5"/>
      <c r="F9" s="6">
        <v>35664.71</v>
      </c>
      <c r="G9" s="6"/>
      <c r="K9" s="6">
        <v>449613.23</v>
      </c>
      <c r="L9" s="6"/>
    </row>
    <row r="10" spans="1:16" ht="14.5" x14ac:dyDescent="0.35">
      <c r="A10">
        <v>600</v>
      </c>
      <c r="B10" t="s">
        <v>38</v>
      </c>
      <c r="C10" s="5"/>
      <c r="D10" s="5"/>
      <c r="F10" s="6">
        <v>1810</v>
      </c>
      <c r="G10" s="6"/>
      <c r="K10" s="6">
        <v>35935.620000000003</v>
      </c>
      <c r="L10" s="6"/>
    </row>
    <row r="11" spans="1:16" ht="14.5" x14ac:dyDescent="0.35">
      <c r="A11">
        <v>689</v>
      </c>
      <c r="B11" t="s">
        <v>261</v>
      </c>
      <c r="C11" s="5"/>
      <c r="D11" s="5"/>
      <c r="F11" s="6"/>
      <c r="G11" s="6">
        <v>-90.5</v>
      </c>
      <c r="K11" s="6"/>
      <c r="L11" s="6">
        <v>-301.67</v>
      </c>
    </row>
    <row r="12" spans="1:16" ht="14.5" x14ac:dyDescent="0.35">
      <c r="C12" s="5"/>
      <c r="D12" s="5"/>
      <c r="F12" s="6"/>
      <c r="G12" s="6"/>
      <c r="K12" s="6"/>
      <c r="L12" s="6"/>
    </row>
    <row r="13" spans="1:16" ht="14.5" x14ac:dyDescent="0.35">
      <c r="A13" s="7" t="s">
        <v>262</v>
      </c>
      <c r="B13" s="7"/>
      <c r="C13" s="8">
        <f>SUM(C7:C12)</f>
        <v>0</v>
      </c>
      <c r="D13" s="8">
        <f>SUM(D7:D12)</f>
        <v>0</v>
      </c>
      <c r="F13" s="8">
        <f>SUM(F7:G11)</f>
        <v>49714.21</v>
      </c>
      <c r="G13" s="8"/>
      <c r="K13" s="8">
        <f>SUM(K7:L11)</f>
        <v>497577.18</v>
      </c>
      <c r="L13" s="8"/>
    </row>
    <row r="14" spans="1:16" ht="14.5" x14ac:dyDescent="0.35">
      <c r="C14" s="5"/>
      <c r="D14" s="5"/>
      <c r="F14" s="6"/>
      <c r="G14" s="6"/>
      <c r="K14" s="6"/>
      <c r="L14" s="6"/>
    </row>
    <row r="15" spans="1:16" ht="14.5" x14ac:dyDescent="0.35">
      <c r="A15">
        <v>2000</v>
      </c>
      <c r="B15" t="s">
        <v>263</v>
      </c>
      <c r="C15" s="6">
        <v>3965.33</v>
      </c>
      <c r="D15" s="6"/>
      <c r="F15" s="6">
        <v>95840</v>
      </c>
      <c r="G15" s="6"/>
      <c r="K15" s="6">
        <v>98410</v>
      </c>
      <c r="L15" s="6"/>
    </row>
    <row r="16" spans="1:16" ht="14.5" x14ac:dyDescent="0.35">
      <c r="A16">
        <v>2001</v>
      </c>
      <c r="B16" t="s">
        <v>68</v>
      </c>
      <c r="C16" s="6"/>
      <c r="D16" s="6"/>
      <c r="F16" s="6"/>
      <c r="G16" s="6"/>
      <c r="K16" s="6"/>
      <c r="L16" s="6">
        <v>-2800</v>
      </c>
      <c r="O16">
        <v>13700</v>
      </c>
    </row>
    <row r="17" spans="1:16" ht="14.5" x14ac:dyDescent="0.35">
      <c r="A17">
        <v>2100</v>
      </c>
      <c r="B17" t="s">
        <v>264</v>
      </c>
      <c r="C17" s="6">
        <v>16980</v>
      </c>
      <c r="D17" s="6"/>
      <c r="F17" s="9">
        <v>36751</v>
      </c>
      <c r="G17" s="6"/>
      <c r="H17" s="9">
        <f>+F17+F18+F19+F36+F37</f>
        <v>55859.72</v>
      </c>
      <c r="I17" s="6"/>
      <c r="K17" s="6">
        <v>6190</v>
      </c>
      <c r="L17" s="6"/>
    </row>
    <row r="18" spans="1:16" ht="14.5" x14ac:dyDescent="0.35">
      <c r="A18">
        <v>2200</v>
      </c>
      <c r="B18" t="s">
        <v>265</v>
      </c>
      <c r="C18" s="6"/>
      <c r="D18" s="6"/>
      <c r="F18" s="9">
        <v>4944.5</v>
      </c>
      <c r="G18" s="6"/>
      <c r="K18" s="6">
        <v>7247.57</v>
      </c>
      <c r="L18" s="6"/>
    </row>
    <row r="19" spans="1:16" ht="14.5" x14ac:dyDescent="0.35">
      <c r="A19">
        <v>2500</v>
      </c>
      <c r="B19" t="s">
        <v>266</v>
      </c>
      <c r="C19" s="6"/>
      <c r="D19" s="6"/>
      <c r="F19" s="9">
        <v>0</v>
      </c>
      <c r="G19" s="6"/>
      <c r="K19" s="6">
        <v>54591.95</v>
      </c>
      <c r="L19" s="6"/>
      <c r="P19">
        <v>-1370</v>
      </c>
    </row>
    <row r="20" spans="1:16" ht="14.5" x14ac:dyDescent="0.35">
      <c r="A20">
        <v>2800</v>
      </c>
      <c r="B20" t="s">
        <v>267</v>
      </c>
      <c r="C20" s="6">
        <v>91043.54</v>
      </c>
      <c r="D20" s="6"/>
      <c r="F20" s="10">
        <v>361887.22</v>
      </c>
      <c r="G20" s="6"/>
      <c r="H20" s="10">
        <f>+F20+F21+F24+F25+F26</f>
        <v>603925.02</v>
      </c>
      <c r="I20" s="6"/>
      <c r="K20" s="10">
        <v>19053.34</v>
      </c>
      <c r="L20" s="6"/>
      <c r="M20" s="10">
        <f>SUM(K20:K26)</f>
        <v>592005.80000000005</v>
      </c>
    </row>
    <row r="21" spans="1:16" ht="14.5" x14ac:dyDescent="0.35">
      <c r="A21">
        <v>2801</v>
      </c>
      <c r="B21" t="s">
        <v>89</v>
      </c>
      <c r="C21" s="6"/>
      <c r="D21" s="6"/>
      <c r="F21" s="10">
        <v>1547.26</v>
      </c>
      <c r="G21" s="6"/>
      <c r="K21" s="10">
        <v>1802.01</v>
      </c>
      <c r="L21" s="6"/>
    </row>
    <row r="22" spans="1:16" ht="14.5" x14ac:dyDescent="0.35">
      <c r="A22">
        <v>2802</v>
      </c>
      <c r="B22" t="s">
        <v>268</v>
      </c>
      <c r="C22" s="6"/>
      <c r="D22" s="6"/>
      <c r="F22" s="10"/>
      <c r="G22" s="6"/>
      <c r="K22" s="10">
        <v>20650.45</v>
      </c>
      <c r="L22" s="6"/>
    </row>
    <row r="23" spans="1:16" ht="14.5" x14ac:dyDescent="0.35">
      <c r="A23">
        <v>2803</v>
      </c>
      <c r="B23" t="s">
        <v>269</v>
      </c>
      <c r="C23" s="6"/>
      <c r="D23" s="6"/>
      <c r="F23" s="10"/>
      <c r="G23" s="6"/>
      <c r="K23" s="10">
        <v>310000</v>
      </c>
      <c r="L23" s="6"/>
    </row>
    <row r="24" spans="1:16" ht="14.5" x14ac:dyDescent="0.35">
      <c r="A24">
        <v>2810</v>
      </c>
      <c r="B24" t="s">
        <v>270</v>
      </c>
      <c r="C24" s="6">
        <v>350114.85</v>
      </c>
      <c r="D24" s="6"/>
      <c r="F24" s="10"/>
      <c r="G24" s="6"/>
      <c r="K24" s="10">
        <v>0</v>
      </c>
      <c r="L24" s="6"/>
    </row>
    <row r="25" spans="1:16" ht="14.5" x14ac:dyDescent="0.35">
      <c r="A25">
        <v>2820</v>
      </c>
      <c r="B25" t="s">
        <v>93</v>
      </c>
      <c r="C25" s="6"/>
      <c r="D25" s="6"/>
      <c r="F25" s="10">
        <v>240000</v>
      </c>
      <c r="G25" s="6"/>
      <c r="K25" s="10">
        <v>240000</v>
      </c>
      <c r="L25" s="6"/>
    </row>
    <row r="26" spans="1:16" ht="14.5" x14ac:dyDescent="0.35">
      <c r="A26">
        <v>2821</v>
      </c>
      <c r="B26" t="s">
        <v>94</v>
      </c>
      <c r="C26" s="6"/>
      <c r="D26" s="6"/>
      <c r="F26" s="10">
        <v>490.54</v>
      </c>
      <c r="G26" s="6">
        <f>SUM(F20:F26)</f>
        <v>603925.02</v>
      </c>
      <c r="K26" s="10">
        <v>500</v>
      </c>
      <c r="L26" s="6">
        <f>SUM(K20:K26)</f>
        <v>592005.80000000005</v>
      </c>
    </row>
    <row r="27" spans="1:16" ht="14.5" x14ac:dyDescent="0.35">
      <c r="A27">
        <v>2900</v>
      </c>
      <c r="B27" t="s">
        <v>271</v>
      </c>
      <c r="C27" s="6">
        <v>6995.35</v>
      </c>
      <c r="D27" s="6"/>
      <c r="F27" s="6">
        <v>2024</v>
      </c>
      <c r="G27" s="6"/>
      <c r="H27" s="6"/>
      <c r="I27" s="6"/>
      <c r="K27" s="6">
        <v>2024</v>
      </c>
      <c r="L27" s="6"/>
    </row>
    <row r="28" spans="1:16" ht="14.5" x14ac:dyDescent="0.35">
      <c r="C28" s="6"/>
      <c r="D28" s="6"/>
      <c r="F28" s="6"/>
      <c r="G28" s="6"/>
      <c r="K28" s="6"/>
      <c r="L28" s="6"/>
    </row>
    <row r="29" spans="1:16" ht="14.5" x14ac:dyDescent="0.35">
      <c r="A29" s="7" t="s">
        <v>272</v>
      </c>
      <c r="B29" s="7"/>
      <c r="C29" s="8">
        <f>SUM(C15:D27)</f>
        <v>469099.06999999995</v>
      </c>
      <c r="D29" s="8"/>
      <c r="F29" s="8">
        <f>SUM(F15:G28)</f>
        <v>1347409.54</v>
      </c>
      <c r="G29" s="8"/>
      <c r="K29" s="8">
        <f>SUM(K15:L27)</f>
        <v>1349675.12</v>
      </c>
      <c r="L29" s="8"/>
    </row>
    <row r="30" spans="1:16" ht="14.5" x14ac:dyDescent="0.35">
      <c r="C30" s="6"/>
      <c r="D30" s="6"/>
      <c r="F30" s="6"/>
      <c r="G30" s="6"/>
      <c r="K30" s="6"/>
      <c r="L30" s="6"/>
    </row>
    <row r="31" spans="1:16" ht="14.5" x14ac:dyDescent="0.35">
      <c r="A31">
        <v>3040</v>
      </c>
      <c r="B31" t="s">
        <v>273</v>
      </c>
      <c r="C31" s="6"/>
      <c r="D31" s="6">
        <v>-2600</v>
      </c>
      <c r="F31" s="6"/>
      <c r="G31" s="11">
        <v>-5800</v>
      </c>
      <c r="H31" s="11">
        <f>+G31+G32</f>
        <v>-21239.360000000001</v>
      </c>
      <c r="I31" s="11"/>
      <c r="K31" s="6"/>
      <c r="L31" s="6">
        <v>-2000</v>
      </c>
    </row>
    <row r="32" spans="1:16" ht="14.5" x14ac:dyDescent="0.35">
      <c r="A32">
        <v>3042</v>
      </c>
      <c r="B32" t="s">
        <v>274</v>
      </c>
      <c r="C32" s="6"/>
      <c r="D32" s="6"/>
      <c r="F32" s="6"/>
      <c r="G32" s="11">
        <v>-15439.36</v>
      </c>
      <c r="K32" s="6"/>
      <c r="L32" s="6">
        <v>-15439.36</v>
      </c>
    </row>
    <row r="33" spans="1:15" ht="14.5" x14ac:dyDescent="0.35">
      <c r="A33">
        <v>3300</v>
      </c>
      <c r="B33" t="s">
        <v>275</v>
      </c>
      <c r="C33" s="6"/>
      <c r="D33" s="6">
        <v>-1612.84</v>
      </c>
      <c r="F33" s="6"/>
      <c r="G33" s="6">
        <v>-28126.65</v>
      </c>
      <c r="K33" s="6"/>
      <c r="L33" s="6">
        <v>-55726.43</v>
      </c>
    </row>
    <row r="34" spans="1:15" ht="14.5" x14ac:dyDescent="0.35">
      <c r="A34">
        <v>3310</v>
      </c>
      <c r="B34" t="s">
        <v>276</v>
      </c>
      <c r="C34" s="6"/>
      <c r="D34" s="6">
        <v>-1218.4000000000001</v>
      </c>
      <c r="F34" s="6"/>
      <c r="G34" s="12">
        <v>-5199.17</v>
      </c>
      <c r="H34" s="12">
        <f>+G34+G35+G38+G39+G40</f>
        <v>-9372.98</v>
      </c>
      <c r="I34" s="12"/>
      <c r="K34" s="6"/>
      <c r="L34" s="6">
        <v>-3809.17</v>
      </c>
    </row>
    <row r="35" spans="1:15" ht="14.5" x14ac:dyDescent="0.35">
      <c r="A35">
        <v>3500</v>
      </c>
      <c r="B35" t="s">
        <v>277</v>
      </c>
      <c r="C35" s="6"/>
      <c r="D35" s="6"/>
      <c r="F35" s="6"/>
      <c r="G35" s="12">
        <v>0</v>
      </c>
      <c r="K35" s="6"/>
      <c r="L35" s="6">
        <v>-2163.9899999999998</v>
      </c>
    </row>
    <row r="36" spans="1:15" ht="14.5" x14ac:dyDescent="0.35">
      <c r="A36">
        <v>3520</v>
      </c>
      <c r="B36" t="s">
        <v>278</v>
      </c>
      <c r="C36" s="6">
        <v>1702.15</v>
      </c>
      <c r="D36" s="6"/>
      <c r="F36" s="9">
        <v>5034.2700000000004</v>
      </c>
      <c r="G36" s="12"/>
      <c r="K36" s="6"/>
      <c r="L36" s="6">
        <v>-7387.57</v>
      </c>
      <c r="O36">
        <v>878799.81</v>
      </c>
    </row>
    <row r="37" spans="1:15" ht="14.5" x14ac:dyDescent="0.35">
      <c r="A37">
        <v>3530</v>
      </c>
      <c r="B37" t="s">
        <v>279</v>
      </c>
      <c r="C37" s="6">
        <v>2327.1</v>
      </c>
      <c r="D37" s="6"/>
      <c r="F37" s="9">
        <v>9129.9500000000007</v>
      </c>
      <c r="G37" s="12"/>
      <c r="K37" s="6" t="s">
        <v>280</v>
      </c>
      <c r="L37" s="6"/>
    </row>
    <row r="38" spans="1:15" ht="14.5" x14ac:dyDescent="0.35">
      <c r="A38">
        <v>3540</v>
      </c>
      <c r="B38" t="s">
        <v>281</v>
      </c>
      <c r="C38" s="6"/>
      <c r="D38" s="6">
        <v>-268.97000000000003</v>
      </c>
      <c r="F38" s="6"/>
      <c r="G38" s="12">
        <v>-804.87</v>
      </c>
      <c r="K38" s="6"/>
      <c r="L38" s="6">
        <v>-1032.9100000000001</v>
      </c>
    </row>
    <row r="39" spans="1:15" ht="14.5" x14ac:dyDescent="0.35">
      <c r="A39">
        <v>3550</v>
      </c>
      <c r="B39" t="s">
        <v>282</v>
      </c>
      <c r="C39" s="6"/>
      <c r="D39" s="6">
        <v>-207.27</v>
      </c>
      <c r="F39" s="6"/>
      <c r="G39" s="12">
        <v>-263.77</v>
      </c>
      <c r="K39" s="6"/>
      <c r="L39" s="6">
        <v>-349.21</v>
      </c>
    </row>
    <row r="40" spans="1:15" ht="14.5" x14ac:dyDescent="0.35">
      <c r="A40">
        <v>3600</v>
      </c>
      <c r="B40" t="s">
        <v>283</v>
      </c>
      <c r="C40" s="6"/>
      <c r="D40" s="6">
        <v>-2288.4</v>
      </c>
      <c r="F40" s="6"/>
      <c r="G40" s="12">
        <v>-3105.17</v>
      </c>
      <c r="K40" s="6"/>
      <c r="L40" s="6">
        <v>-2487.2399999999998</v>
      </c>
    </row>
    <row r="41" spans="1:15" ht="14.5" x14ac:dyDescent="0.35">
      <c r="A41">
        <v>3690</v>
      </c>
      <c r="B41" t="s">
        <v>284</v>
      </c>
      <c r="C41" s="6"/>
      <c r="D41" s="6">
        <v>0</v>
      </c>
      <c r="F41" s="6"/>
      <c r="G41" s="6"/>
      <c r="K41" s="6"/>
      <c r="L41" s="6">
        <v>0</v>
      </c>
    </row>
    <row r="42" spans="1:15" ht="14.5" x14ac:dyDescent="0.35">
      <c r="A42">
        <v>3750</v>
      </c>
      <c r="B42" t="s">
        <v>113</v>
      </c>
      <c r="C42" s="6"/>
      <c r="D42" s="6"/>
      <c r="F42" s="6"/>
      <c r="G42" s="6"/>
      <c r="K42" s="6"/>
      <c r="L42" s="6">
        <v>-200000</v>
      </c>
    </row>
    <row r="43" spans="1:15" ht="14.5" x14ac:dyDescent="0.35">
      <c r="A43">
        <v>3760</v>
      </c>
      <c r="B43" t="s">
        <v>285</v>
      </c>
      <c r="C43" s="6"/>
      <c r="D43" s="6">
        <v>-423389</v>
      </c>
      <c r="F43" s="6"/>
      <c r="G43" s="6">
        <v>-553789</v>
      </c>
      <c r="K43" s="6"/>
      <c r="L43" s="6">
        <v>-858388</v>
      </c>
    </row>
    <row r="44" spans="1:15" ht="14.5" x14ac:dyDescent="0.35">
      <c r="A44">
        <v>3880</v>
      </c>
      <c r="B44" t="s">
        <v>116</v>
      </c>
      <c r="C44" s="6"/>
      <c r="D44" s="6"/>
      <c r="F44" s="6"/>
      <c r="G44" s="6"/>
      <c r="K44" s="6"/>
      <c r="L44" s="6">
        <v>-442448.2</v>
      </c>
    </row>
    <row r="45" spans="1:15" ht="14.5" x14ac:dyDescent="0.35">
      <c r="A45">
        <v>3881</v>
      </c>
      <c r="B45" t="s">
        <v>117</v>
      </c>
      <c r="C45" s="6"/>
      <c r="D45" s="6"/>
      <c r="F45" s="6"/>
      <c r="G45" s="6"/>
      <c r="K45" s="6"/>
      <c r="L45" s="6"/>
    </row>
    <row r="46" spans="1:15" ht="14.5" x14ac:dyDescent="0.35">
      <c r="A46">
        <v>3900</v>
      </c>
      <c r="B46" t="s">
        <v>118</v>
      </c>
      <c r="C46" s="6"/>
      <c r="D46" s="6"/>
      <c r="F46" s="6"/>
      <c r="G46" s="6">
        <v>-510</v>
      </c>
      <c r="K46" s="6"/>
      <c r="L46" s="6">
        <v>-510</v>
      </c>
    </row>
    <row r="47" spans="1:15" ht="14.5" x14ac:dyDescent="0.35">
      <c r="A47">
        <v>3955</v>
      </c>
      <c r="B47" t="s">
        <v>121</v>
      </c>
      <c r="C47" s="6"/>
      <c r="D47" s="6"/>
      <c r="F47" s="6"/>
      <c r="G47" s="6">
        <v>-45230</v>
      </c>
      <c r="K47" s="6"/>
      <c r="L47" s="6">
        <v>-45230</v>
      </c>
    </row>
    <row r="48" spans="1:15" ht="14.5" x14ac:dyDescent="0.35">
      <c r="C48" s="6"/>
      <c r="D48" s="6"/>
      <c r="F48" s="6"/>
      <c r="G48" s="6"/>
      <c r="K48" s="6"/>
      <c r="L48" s="6"/>
    </row>
    <row r="49" spans="1:16" ht="14.5" x14ac:dyDescent="0.35">
      <c r="A49" s="7" t="s">
        <v>286</v>
      </c>
      <c r="B49" s="7"/>
      <c r="C49" s="8"/>
      <c r="D49" s="8">
        <f>SUM(C31:D47)</f>
        <v>-427555.63</v>
      </c>
      <c r="F49" s="8"/>
      <c r="G49" s="8">
        <f>SUM(F31:G48)</f>
        <v>-644103.77</v>
      </c>
      <c r="K49" s="8"/>
      <c r="L49" s="8">
        <f>SUM(K31:L47)</f>
        <v>-1636972.0799999998</v>
      </c>
      <c r="O49">
        <v>66343.009999999995</v>
      </c>
    </row>
    <row r="50" spans="1:16" ht="14.5" x14ac:dyDescent="0.35">
      <c r="C50" s="6"/>
      <c r="D50" s="6"/>
      <c r="F50" s="6"/>
      <c r="G50" s="6"/>
      <c r="K50" s="6"/>
      <c r="L50" s="6"/>
    </row>
    <row r="51" spans="1:16" ht="14.5" x14ac:dyDescent="0.35">
      <c r="A51">
        <v>4000</v>
      </c>
      <c r="B51" t="s">
        <v>287</v>
      </c>
      <c r="C51" s="6"/>
      <c r="D51" s="6">
        <v>-6201.81</v>
      </c>
      <c r="F51" s="6"/>
      <c r="G51" s="13">
        <v>-4558.72</v>
      </c>
      <c r="K51" s="6"/>
      <c r="L51" s="6">
        <v>-3145.07</v>
      </c>
      <c r="O51">
        <v>25000</v>
      </c>
    </row>
    <row r="52" spans="1:16" ht="14.5" x14ac:dyDescent="0.35">
      <c r="A52">
        <v>4040</v>
      </c>
      <c r="B52" t="s">
        <v>288</v>
      </c>
      <c r="C52" s="6"/>
      <c r="D52" s="6"/>
      <c r="F52" s="6"/>
      <c r="G52" s="13">
        <v>-6395.84</v>
      </c>
      <c r="K52" s="6"/>
      <c r="L52" s="6">
        <v>-7675.02</v>
      </c>
    </row>
    <row r="53" spans="1:16" ht="14.5" x14ac:dyDescent="0.35">
      <c r="A53">
        <v>4064</v>
      </c>
      <c r="B53" t="s">
        <v>289</v>
      </c>
      <c r="C53" s="6"/>
      <c r="D53" s="6"/>
      <c r="F53" s="6"/>
      <c r="G53" s="13">
        <v>-5500</v>
      </c>
      <c r="H53" s="13">
        <f>-SUM(G51:G53)</f>
        <v>16454.560000000001</v>
      </c>
      <c r="I53" s="13"/>
      <c r="K53" s="6"/>
      <c r="L53" s="6">
        <v>0</v>
      </c>
    </row>
    <row r="54" spans="1:16" ht="14.5" x14ac:dyDescent="0.35">
      <c r="A54">
        <v>4352</v>
      </c>
      <c r="B54" t="s">
        <v>290</v>
      </c>
      <c r="C54" s="6"/>
      <c r="D54" s="6">
        <v>-10000</v>
      </c>
      <c r="F54" s="6"/>
      <c r="G54" s="14">
        <v>-42384</v>
      </c>
      <c r="K54" s="6"/>
      <c r="L54" s="6">
        <v>-38</v>
      </c>
    </row>
    <row r="55" spans="1:16" ht="14.5" x14ac:dyDescent="0.35">
      <c r="A55">
        <v>4356</v>
      </c>
      <c r="B55" t="s">
        <v>291</v>
      </c>
      <c r="C55" s="6"/>
      <c r="D55" s="6">
        <v>-69135.05</v>
      </c>
      <c r="F55" s="6"/>
      <c r="G55" s="14">
        <v>-25450</v>
      </c>
      <c r="K55" s="6"/>
      <c r="L55" s="6">
        <v>0</v>
      </c>
    </row>
    <row r="56" spans="1:16" ht="14.5" x14ac:dyDescent="0.35">
      <c r="A56">
        <v>4830</v>
      </c>
      <c r="B56" t="s">
        <v>292</v>
      </c>
      <c r="C56" s="6"/>
      <c r="D56" s="6"/>
      <c r="F56" s="6"/>
      <c r="G56" s="14">
        <v>-1370</v>
      </c>
      <c r="J56" s="6"/>
      <c r="K56" s="6"/>
      <c r="L56" s="6">
        <v>0</v>
      </c>
    </row>
    <row r="57" spans="1:16" ht="14.5" x14ac:dyDescent="0.35">
      <c r="A57">
        <v>4831</v>
      </c>
      <c r="B57" t="s">
        <v>293</v>
      </c>
      <c r="C57" s="6"/>
      <c r="D57" s="6"/>
      <c r="F57" s="6"/>
      <c r="G57" s="14">
        <v>-13150</v>
      </c>
      <c r="H57" s="14">
        <f>-SUM(G54:G57)</f>
        <v>82354</v>
      </c>
      <c r="I57" s="14"/>
      <c r="J57" s="6"/>
      <c r="K57" s="6"/>
      <c r="L57" s="6">
        <v>-13</v>
      </c>
    </row>
    <row r="58" spans="1:16" ht="14.5" x14ac:dyDescent="0.35">
      <c r="C58" s="6"/>
      <c r="D58" s="6"/>
      <c r="F58" s="6"/>
      <c r="G58" s="6"/>
      <c r="H58" s="6"/>
      <c r="I58" s="6"/>
      <c r="K58" s="6"/>
      <c r="L58" s="6"/>
    </row>
    <row r="59" spans="1:16" ht="14.5" x14ac:dyDescent="0.35">
      <c r="A59" s="7" t="s">
        <v>294</v>
      </c>
      <c r="B59" s="7"/>
      <c r="C59" s="6"/>
      <c r="D59" s="6"/>
      <c r="F59" s="6"/>
      <c r="G59" s="6"/>
      <c r="H59" s="6"/>
      <c r="I59" s="6"/>
      <c r="K59" s="8"/>
      <c r="L59" s="8">
        <f>SUM(K51:L57)</f>
        <v>-10871.09</v>
      </c>
      <c r="O59">
        <v>773.68</v>
      </c>
    </row>
    <row r="60" spans="1:16" ht="14.5" x14ac:dyDescent="0.35">
      <c r="C60" s="6"/>
      <c r="D60" s="6"/>
      <c r="F60" s="6"/>
      <c r="G60" s="6"/>
      <c r="H60" s="6"/>
      <c r="I60" s="6"/>
      <c r="K60" s="6"/>
      <c r="L60" s="6"/>
      <c r="P60">
        <v>-301.67</v>
      </c>
    </row>
    <row r="61" spans="1:16" ht="14.5" x14ac:dyDescent="0.35">
      <c r="A61" s="15">
        <v>5480</v>
      </c>
      <c r="B61" s="15" t="s">
        <v>148</v>
      </c>
      <c r="C61" s="15"/>
      <c r="D61" s="6"/>
      <c r="F61" s="6"/>
      <c r="G61" s="6"/>
      <c r="H61" s="6"/>
      <c r="I61" s="6"/>
      <c r="K61" s="6">
        <v>110</v>
      </c>
      <c r="L61" s="6"/>
    </row>
    <row r="62" spans="1:16" ht="14.5" x14ac:dyDescent="0.35">
      <c r="A62" s="15">
        <v>5050</v>
      </c>
      <c r="B62" t="s">
        <v>144</v>
      </c>
      <c r="C62" s="15"/>
      <c r="D62" s="6"/>
      <c r="F62" s="6"/>
      <c r="G62" s="6"/>
      <c r="H62" s="6"/>
      <c r="I62" s="6"/>
      <c r="K62" s="6"/>
      <c r="L62" s="6"/>
    </row>
    <row r="63" spans="1:16" ht="14.5" x14ac:dyDescent="0.35">
      <c r="A63" s="15">
        <v>5800</v>
      </c>
      <c r="B63" s="15" t="s">
        <v>150</v>
      </c>
      <c r="D63" s="6"/>
      <c r="F63" s="6"/>
      <c r="G63" s="6"/>
      <c r="H63" s="6"/>
      <c r="I63" s="6"/>
      <c r="K63" s="6"/>
      <c r="L63" s="6">
        <v>-3543.38</v>
      </c>
    </row>
    <row r="64" spans="1:16" ht="14.5" x14ac:dyDescent="0.35">
      <c r="C64" s="15"/>
      <c r="D64" s="6"/>
      <c r="F64" s="6"/>
      <c r="G64" s="6"/>
      <c r="H64" s="6"/>
      <c r="I64" s="6"/>
      <c r="K64" s="6"/>
      <c r="L64" s="6"/>
    </row>
    <row r="65" spans="1:13" ht="14.5" x14ac:dyDescent="0.35">
      <c r="A65" s="15"/>
      <c r="B65" s="15"/>
      <c r="D65" s="6"/>
      <c r="F65" s="6"/>
      <c r="G65" s="6"/>
      <c r="K65" s="6"/>
      <c r="L65" s="6"/>
    </row>
    <row r="66" spans="1:13" ht="14.5" x14ac:dyDescent="0.35">
      <c r="C66" s="6"/>
      <c r="D66" s="6"/>
      <c r="F66" s="6"/>
      <c r="G66" s="6"/>
      <c r="K66" s="6"/>
      <c r="L66" s="6"/>
    </row>
    <row r="67" spans="1:13" ht="14.5" x14ac:dyDescent="0.35">
      <c r="A67" s="7" t="s">
        <v>295</v>
      </c>
      <c r="B67" s="7"/>
      <c r="C67" s="8"/>
      <c r="D67" s="8">
        <f>SUM(C51:D55)</f>
        <v>-85336.86</v>
      </c>
      <c r="F67" s="8"/>
      <c r="G67" s="8">
        <f>SUM(F51:G65)</f>
        <v>-98808.56</v>
      </c>
      <c r="K67" s="8"/>
      <c r="L67" s="8">
        <f>SUM(K61:L64)</f>
        <v>-3433.38</v>
      </c>
    </row>
    <row r="68" spans="1:13" ht="14.5" x14ac:dyDescent="0.35">
      <c r="C68" s="6"/>
      <c r="D68" s="6"/>
      <c r="F68" s="6"/>
      <c r="G68" s="6"/>
      <c r="K68" s="6"/>
      <c r="L68" s="6"/>
    </row>
    <row r="69" spans="1:13" ht="14.5" x14ac:dyDescent="0.35">
      <c r="A69">
        <v>6200</v>
      </c>
      <c r="B69" t="s">
        <v>296</v>
      </c>
      <c r="C69" s="6">
        <v>55687.03</v>
      </c>
      <c r="D69" s="6"/>
      <c r="E69" s="16">
        <f>C69/C80</f>
        <v>0.70167991306718891</v>
      </c>
      <c r="F69" s="6">
        <v>62976.46</v>
      </c>
      <c r="G69" s="6"/>
      <c r="I69" s="16">
        <f>F69/F80</f>
        <v>0.58266908900886283</v>
      </c>
      <c r="K69" s="6">
        <v>52280.44</v>
      </c>
      <c r="L69" s="6"/>
      <c r="M69" s="16">
        <f>K69/K80</f>
        <v>0.68153818797885224</v>
      </c>
    </row>
    <row r="70" spans="1:13" ht="14.5" x14ac:dyDescent="0.35">
      <c r="A70">
        <v>6240</v>
      </c>
      <c r="B70" t="s">
        <v>297</v>
      </c>
      <c r="C70" s="6">
        <v>8262.99</v>
      </c>
      <c r="D70" s="6"/>
      <c r="E70" s="17"/>
      <c r="F70" s="6">
        <v>16792.5</v>
      </c>
      <c r="G70" s="6"/>
      <c r="I70" s="17"/>
      <c r="K70" s="6">
        <v>8277.59</v>
      </c>
      <c r="L70" s="6"/>
      <c r="M70" s="17"/>
    </row>
    <row r="71" spans="1:13" ht="14.5" x14ac:dyDescent="0.35">
      <c r="A71">
        <v>6242</v>
      </c>
      <c r="B71" t="s">
        <v>159</v>
      </c>
      <c r="C71" s="6"/>
      <c r="D71" s="6"/>
      <c r="E71" s="17"/>
      <c r="F71" s="6">
        <v>8809.36</v>
      </c>
      <c r="G71" s="6"/>
      <c r="I71" s="17"/>
      <c r="K71" s="6"/>
      <c r="L71" s="6"/>
      <c r="M71" s="17"/>
    </row>
    <row r="72" spans="1:13" ht="14.5" x14ac:dyDescent="0.35">
      <c r="A72">
        <v>6400</v>
      </c>
      <c r="B72" t="s">
        <v>298</v>
      </c>
      <c r="C72" s="6">
        <v>911.12</v>
      </c>
      <c r="D72" s="6"/>
      <c r="E72" s="17"/>
      <c r="F72" s="6">
        <v>1200.0999999999999</v>
      </c>
      <c r="G72" s="6"/>
      <c r="I72" s="17"/>
      <c r="K72" s="6">
        <v>920.45</v>
      </c>
      <c r="L72" s="6"/>
      <c r="M72" s="17"/>
    </row>
    <row r="73" spans="1:13" ht="14.5" x14ac:dyDescent="0.35">
      <c r="A73">
        <v>6560</v>
      </c>
      <c r="B73" t="s">
        <v>299</v>
      </c>
      <c r="C73" s="6">
        <v>12334.8</v>
      </c>
      <c r="D73" s="6"/>
      <c r="E73" s="17"/>
      <c r="F73" s="6">
        <v>14581.22</v>
      </c>
      <c r="G73" s="6"/>
      <c r="I73" s="17"/>
      <c r="K73" s="6">
        <v>11692.38</v>
      </c>
      <c r="L73" s="6"/>
      <c r="M73" s="17"/>
    </row>
    <row r="74" spans="1:13" ht="14.5" x14ac:dyDescent="0.35">
      <c r="A74">
        <v>6621</v>
      </c>
      <c r="B74" t="s">
        <v>171</v>
      </c>
      <c r="C74" s="6"/>
      <c r="D74" s="6"/>
      <c r="E74" s="17"/>
      <c r="F74" s="6">
        <v>1068.3900000000001</v>
      </c>
      <c r="G74" s="6"/>
      <c r="I74" s="17"/>
      <c r="K74" s="6">
        <v>1419.76</v>
      </c>
      <c r="L74" s="6"/>
      <c r="M74" s="17"/>
    </row>
    <row r="75" spans="1:13" ht="14.5" x14ac:dyDescent="0.35">
      <c r="A75">
        <v>6631</v>
      </c>
      <c r="B75" t="s">
        <v>173</v>
      </c>
      <c r="C75" s="6"/>
      <c r="D75" s="6"/>
      <c r="E75" s="17"/>
      <c r="F75" s="6">
        <v>103.96</v>
      </c>
      <c r="G75" s="6"/>
      <c r="I75" s="17"/>
      <c r="K75" s="6">
        <v>138.12</v>
      </c>
      <c r="L75" s="6"/>
      <c r="M75" s="17"/>
    </row>
    <row r="76" spans="1:13" ht="14.5" x14ac:dyDescent="0.35">
      <c r="A76">
        <v>6641</v>
      </c>
      <c r="B76" t="s">
        <v>300</v>
      </c>
      <c r="C76" s="6">
        <v>1918.5</v>
      </c>
      <c r="D76" s="6"/>
      <c r="E76" s="17"/>
      <c r="F76" s="6">
        <v>2194.1799999999998</v>
      </c>
      <c r="G76" s="6"/>
      <c r="I76" s="17"/>
      <c r="K76" s="6">
        <v>1816.74</v>
      </c>
      <c r="L76" s="6"/>
      <c r="M76" s="17"/>
    </row>
    <row r="77" spans="1:13" ht="14.5" x14ac:dyDescent="0.35">
      <c r="A77">
        <v>6651</v>
      </c>
      <c r="B77" t="s">
        <v>301</v>
      </c>
      <c r="C77" s="6">
        <v>248</v>
      </c>
      <c r="D77" s="6"/>
      <c r="E77" s="17"/>
      <c r="F77" s="6">
        <v>240</v>
      </c>
      <c r="G77" s="6"/>
      <c r="I77" s="17"/>
      <c r="K77" s="6">
        <v>164</v>
      </c>
      <c r="L77" s="6"/>
      <c r="M77" s="17"/>
    </row>
    <row r="78" spans="1:13" ht="14.5" x14ac:dyDescent="0.35">
      <c r="A78">
        <v>6700</v>
      </c>
      <c r="B78" t="s">
        <v>180</v>
      </c>
      <c r="C78" s="6"/>
      <c r="D78" s="18">
        <f>SUM(C70:C77)</f>
        <v>23675.41</v>
      </c>
      <c r="E78" s="16">
        <f>D78/C80</f>
        <v>0.29832008693281103</v>
      </c>
      <c r="F78" s="6">
        <v>116.55</v>
      </c>
      <c r="G78" s="6"/>
      <c r="H78" s="18">
        <f>SUM(F70:F77)-F71</f>
        <v>36180.35</v>
      </c>
      <c r="I78" s="16">
        <f>H78/F80</f>
        <v>0.33474684945012484</v>
      </c>
      <c r="K78" s="6"/>
      <c r="L78" s="18">
        <f>SUM(K70:K77)</f>
        <v>24429.039999999997</v>
      </c>
      <c r="M78" s="16">
        <f>L78/K80</f>
        <v>0.31846181202114782</v>
      </c>
    </row>
    <row r="79" spans="1:13" ht="14.5" x14ac:dyDescent="0.35">
      <c r="C79" s="6"/>
      <c r="D79" s="6"/>
      <c r="F79" s="6"/>
      <c r="G79" s="6"/>
      <c r="K79" s="6"/>
      <c r="L79" s="6"/>
    </row>
    <row r="80" spans="1:13" ht="14.5" x14ac:dyDescent="0.35">
      <c r="A80" s="7" t="s">
        <v>302</v>
      </c>
      <c r="B80" s="7"/>
      <c r="C80" s="8">
        <f>SUM(C69:C78)</f>
        <v>79362.44</v>
      </c>
      <c r="D80" s="8"/>
      <c r="F80" s="8">
        <f>SUM(F69:F79)</f>
        <v>108082.72</v>
      </c>
      <c r="G80" s="8"/>
      <c r="K80" s="8">
        <f>SUM(K69:K78)</f>
        <v>76709.48</v>
      </c>
      <c r="L80" s="8"/>
    </row>
    <row r="81" spans="1:16" ht="14.5" x14ac:dyDescent="0.35">
      <c r="C81" s="6"/>
      <c r="D81" s="6"/>
      <c r="F81" s="6"/>
      <c r="G81" s="6"/>
      <c r="K81" s="6"/>
      <c r="L81" s="6"/>
    </row>
    <row r="82" spans="1:16" ht="14.5" x14ac:dyDescent="0.35">
      <c r="A82">
        <v>7020</v>
      </c>
      <c r="B82" t="s">
        <v>303</v>
      </c>
      <c r="C82" s="6"/>
      <c r="D82" s="6"/>
      <c r="F82" s="6">
        <v>1460.5</v>
      </c>
      <c r="G82" s="6"/>
      <c r="K82" s="6"/>
      <c r="L82" s="6"/>
    </row>
    <row r="83" spans="1:16" ht="14.5" x14ac:dyDescent="0.35">
      <c r="A83">
        <v>7021</v>
      </c>
      <c r="B83" t="s">
        <v>304</v>
      </c>
      <c r="C83" s="6">
        <v>1989.45</v>
      </c>
      <c r="D83" s="6"/>
      <c r="F83" s="6">
        <v>4566.12</v>
      </c>
      <c r="G83" s="6"/>
      <c r="K83" s="6">
        <v>1382.16</v>
      </c>
      <c r="L83" s="6"/>
    </row>
    <row r="84" spans="1:16" ht="14.5" x14ac:dyDescent="0.35">
      <c r="A84">
        <v>7180</v>
      </c>
      <c r="B84" t="s">
        <v>305</v>
      </c>
      <c r="C84" s="6">
        <v>776.16</v>
      </c>
      <c r="D84" s="6"/>
      <c r="F84" s="6">
        <v>3222.56</v>
      </c>
      <c r="G84" s="6"/>
      <c r="K84" s="6">
        <v>2297.5700000000002</v>
      </c>
      <c r="L84" s="6"/>
      <c r="O84">
        <v>60063.08</v>
      </c>
    </row>
    <row r="85" spans="1:16" ht="14.5" x14ac:dyDescent="0.35">
      <c r="A85">
        <v>7200</v>
      </c>
      <c r="B85" t="s">
        <v>187</v>
      </c>
      <c r="C85" s="6"/>
      <c r="D85" s="6"/>
      <c r="F85" s="6">
        <v>6138.48</v>
      </c>
      <c r="G85" s="6"/>
      <c r="K85" s="6">
        <v>10866.95</v>
      </c>
      <c r="L85" s="6"/>
      <c r="P85">
        <v>-2800</v>
      </c>
    </row>
    <row r="86" spans="1:16" ht="14.5" x14ac:dyDescent="0.35">
      <c r="A86">
        <v>7206</v>
      </c>
      <c r="B86" t="s">
        <v>306</v>
      </c>
      <c r="C86" s="6">
        <v>7636.8</v>
      </c>
      <c r="D86" s="6"/>
      <c r="F86" s="6">
        <v>15525.42</v>
      </c>
      <c r="G86" s="6"/>
      <c r="K86" s="6">
        <v>176.32</v>
      </c>
      <c r="L86" s="6"/>
    </row>
    <row r="87" spans="1:16" ht="14.5" x14ac:dyDescent="0.35">
      <c r="A87">
        <v>7215</v>
      </c>
      <c r="B87" s="6">
        <f>SUM(D70:D77)</f>
        <v>0</v>
      </c>
      <c r="C87" s="6"/>
      <c r="D87" s="6"/>
      <c r="F87" s="6">
        <v>33.869999999999997</v>
      </c>
      <c r="G87" s="6"/>
      <c r="K87" s="6">
        <v>58.3</v>
      </c>
      <c r="L87" s="6"/>
    </row>
    <row r="88" spans="1:16" ht="14.5" x14ac:dyDescent="0.35">
      <c r="A88">
        <v>7230</v>
      </c>
      <c r="B88" t="s">
        <v>191</v>
      </c>
      <c r="C88" s="6"/>
      <c r="D88" s="6"/>
      <c r="F88" s="6"/>
      <c r="G88" s="6"/>
      <c r="K88" s="6">
        <v>2500</v>
      </c>
      <c r="L88" s="6"/>
      <c r="O88">
        <v>2097.8000000000002</v>
      </c>
    </row>
    <row r="89" spans="1:16" ht="14.5" x14ac:dyDescent="0.35">
      <c r="A89">
        <v>7300</v>
      </c>
      <c r="B89" t="s">
        <v>307</v>
      </c>
      <c r="C89" s="6"/>
      <c r="D89" s="6"/>
      <c r="F89" s="6">
        <v>71.510000000000005</v>
      </c>
      <c r="G89" s="6"/>
      <c r="K89" s="6">
        <v>121.46</v>
      </c>
      <c r="L89" s="6"/>
    </row>
    <row r="90" spans="1:16" ht="14.5" x14ac:dyDescent="0.35">
      <c r="A90">
        <v>7381</v>
      </c>
      <c r="B90" t="s">
        <v>194</v>
      </c>
      <c r="C90" s="6"/>
      <c r="D90" s="6"/>
      <c r="F90" s="6"/>
      <c r="G90" s="6"/>
      <c r="K90" s="6">
        <v>255.59</v>
      </c>
      <c r="L90" s="6"/>
      <c r="O90">
        <v>6190</v>
      </c>
    </row>
    <row r="91" spans="1:16" ht="14.5" x14ac:dyDescent="0.35">
      <c r="A91">
        <v>7382</v>
      </c>
      <c r="B91" t="s">
        <v>308</v>
      </c>
      <c r="C91" s="6">
        <v>56.4</v>
      </c>
      <c r="D91" s="6"/>
      <c r="F91" s="6">
        <v>57.96</v>
      </c>
      <c r="G91" s="6"/>
      <c r="K91" s="6">
        <v>45.96</v>
      </c>
      <c r="L91" s="6"/>
      <c r="O91">
        <v>8397.57</v>
      </c>
    </row>
    <row r="92" spans="1:16" ht="14.5" x14ac:dyDescent="0.35">
      <c r="A92">
        <v>7390</v>
      </c>
      <c r="B92" t="s">
        <v>309</v>
      </c>
      <c r="C92" s="6">
        <v>40.700000000000003</v>
      </c>
      <c r="D92" s="6"/>
      <c r="F92" s="6">
        <v>312.82</v>
      </c>
      <c r="G92" s="6"/>
      <c r="K92" s="6"/>
      <c r="L92" s="6"/>
      <c r="O92">
        <v>189903.13</v>
      </c>
    </row>
    <row r="93" spans="1:16" ht="14.5" x14ac:dyDescent="0.35">
      <c r="A93">
        <v>7400</v>
      </c>
      <c r="B93" t="s">
        <v>310</v>
      </c>
      <c r="C93" s="6">
        <v>1190</v>
      </c>
      <c r="D93" s="6"/>
      <c r="F93" s="6">
        <v>11130</v>
      </c>
      <c r="G93" s="6"/>
      <c r="K93" s="6">
        <v>33326</v>
      </c>
      <c r="L93" s="6"/>
    </row>
    <row r="94" spans="1:16" ht="14.5" x14ac:dyDescent="0.35">
      <c r="A94">
        <v>7540</v>
      </c>
      <c r="B94" t="s">
        <v>198</v>
      </c>
      <c r="C94" s="6"/>
      <c r="D94" s="6"/>
      <c r="F94" s="6">
        <v>25630</v>
      </c>
      <c r="G94" s="6"/>
      <c r="K94" s="6"/>
      <c r="L94" s="6"/>
    </row>
    <row r="95" spans="1:16" ht="14.5" x14ac:dyDescent="0.35">
      <c r="A95">
        <v>7600</v>
      </c>
      <c r="B95" t="s">
        <v>311</v>
      </c>
      <c r="C95" s="6">
        <v>1181.8</v>
      </c>
      <c r="D95" s="6"/>
      <c r="F95" s="6">
        <v>2419.2399999999998</v>
      </c>
      <c r="G95" s="6"/>
      <c r="K95" s="6">
        <v>490.22</v>
      </c>
      <c r="L95" s="6"/>
    </row>
    <row r="96" spans="1:16" ht="14.5" x14ac:dyDescent="0.35">
      <c r="A96">
        <v>7649</v>
      </c>
      <c r="B96" t="s">
        <v>312</v>
      </c>
      <c r="C96" s="6">
        <v>2511.13</v>
      </c>
      <c r="D96" s="6"/>
      <c r="F96" s="6">
        <v>1002.78</v>
      </c>
      <c r="G96" s="6"/>
      <c r="K96" s="6">
        <v>321.76</v>
      </c>
      <c r="L96" s="6"/>
    </row>
    <row r="97" spans="1:16" ht="14.5" x14ac:dyDescent="0.35">
      <c r="A97">
        <v>7650</v>
      </c>
      <c r="B97" t="s">
        <v>203</v>
      </c>
      <c r="C97" s="6"/>
      <c r="D97" s="6"/>
      <c r="F97" s="6">
        <v>4920.4799999999996</v>
      </c>
      <c r="G97" s="6"/>
      <c r="K97" s="6"/>
      <c r="L97" s="6"/>
    </row>
    <row r="98" spans="1:16" ht="14.5" x14ac:dyDescent="0.35">
      <c r="A98">
        <v>7651</v>
      </c>
      <c r="B98" t="s">
        <v>313</v>
      </c>
      <c r="C98" s="6">
        <v>350</v>
      </c>
      <c r="D98" s="6"/>
      <c r="F98" s="6">
        <v>130</v>
      </c>
      <c r="G98" s="6"/>
      <c r="K98" s="6">
        <v>149</v>
      </c>
      <c r="L98" s="6"/>
    </row>
    <row r="99" spans="1:16" ht="14.5" x14ac:dyDescent="0.35">
      <c r="A99">
        <v>7652</v>
      </c>
      <c r="B99" t="s">
        <v>314</v>
      </c>
      <c r="C99" s="6">
        <v>27.5</v>
      </c>
      <c r="D99" s="6"/>
      <c r="F99" s="6">
        <v>33.25</v>
      </c>
      <c r="G99" s="6"/>
      <c r="K99" s="6"/>
      <c r="L99" s="6"/>
      <c r="O99">
        <v>4361</v>
      </c>
    </row>
    <row r="100" spans="1:16" ht="14.5" x14ac:dyDescent="0.35">
      <c r="A100">
        <v>7700</v>
      </c>
      <c r="B100" t="s">
        <v>209</v>
      </c>
      <c r="C100" s="6"/>
      <c r="D100" s="6"/>
      <c r="F100" s="6">
        <v>1471.29</v>
      </c>
      <c r="G100" s="6"/>
      <c r="K100" s="6">
        <v>2128.35</v>
      </c>
      <c r="L100" s="6"/>
    </row>
    <row r="101" spans="1:16" ht="14.5" x14ac:dyDescent="0.35">
      <c r="A101">
        <v>7740</v>
      </c>
      <c r="B101" t="s">
        <v>315</v>
      </c>
      <c r="C101" s="6">
        <v>1000</v>
      </c>
      <c r="D101" s="6"/>
      <c r="F101" s="6">
        <v>1000</v>
      </c>
      <c r="G101" s="6"/>
      <c r="K101" s="6"/>
      <c r="L101" s="6"/>
    </row>
    <row r="102" spans="1:16" ht="14.5" x14ac:dyDescent="0.35">
      <c r="A102">
        <v>7745</v>
      </c>
      <c r="B102" t="s">
        <v>316</v>
      </c>
      <c r="C102" s="6">
        <v>11300</v>
      </c>
      <c r="D102" s="6"/>
      <c r="F102" s="6">
        <v>17390</v>
      </c>
      <c r="G102" s="6"/>
      <c r="K102" s="6">
        <v>550</v>
      </c>
      <c r="L102" s="6"/>
      <c r="O102">
        <v>499.78</v>
      </c>
    </row>
    <row r="103" spans="1:16" ht="14.5" x14ac:dyDescent="0.35">
      <c r="A103">
        <v>7750</v>
      </c>
      <c r="B103" t="s">
        <v>317</v>
      </c>
      <c r="C103" s="6">
        <v>1611.16</v>
      </c>
      <c r="D103" s="6"/>
      <c r="F103" s="6">
        <v>268.22000000000003</v>
      </c>
      <c r="G103" s="6"/>
      <c r="K103" s="6"/>
      <c r="L103" s="6"/>
      <c r="P103">
        <v>-250</v>
      </c>
    </row>
    <row r="104" spans="1:16" ht="14.5" x14ac:dyDescent="0.35">
      <c r="A104">
        <v>7765</v>
      </c>
      <c r="B104" t="s">
        <v>318</v>
      </c>
      <c r="C104" s="6">
        <v>405</v>
      </c>
      <c r="D104" s="6"/>
      <c r="F104" s="6">
        <v>789.5</v>
      </c>
      <c r="G104" s="6"/>
      <c r="K104" s="6">
        <v>255</v>
      </c>
      <c r="L104" s="6"/>
      <c r="P104">
        <v>-250</v>
      </c>
    </row>
    <row r="105" spans="1:16" ht="14.5" x14ac:dyDescent="0.35">
      <c r="A105">
        <v>7775</v>
      </c>
      <c r="B105" t="s">
        <v>319</v>
      </c>
      <c r="C105" s="6">
        <v>1600</v>
      </c>
      <c r="D105" s="6"/>
      <c r="F105" s="6">
        <v>1600</v>
      </c>
      <c r="G105" s="6"/>
      <c r="K105" s="6"/>
      <c r="L105" s="6"/>
      <c r="O105">
        <v>29162.68</v>
      </c>
    </row>
    <row r="106" spans="1:16" ht="14.5" x14ac:dyDescent="0.35">
      <c r="A106">
        <v>7785</v>
      </c>
      <c r="B106" t="s">
        <v>320</v>
      </c>
      <c r="C106" s="6">
        <v>1900</v>
      </c>
      <c r="D106" s="6"/>
      <c r="F106" s="6">
        <v>1953.33</v>
      </c>
      <c r="G106" s="6"/>
      <c r="K106" s="6"/>
      <c r="L106" s="6"/>
      <c r="O106">
        <v>3945.44</v>
      </c>
    </row>
    <row r="107" spans="1:16" ht="14.5" x14ac:dyDescent="0.35">
      <c r="A107">
        <v>7790</v>
      </c>
      <c r="B107" t="s">
        <v>321</v>
      </c>
      <c r="C107" s="6">
        <v>535.37</v>
      </c>
      <c r="D107" s="6"/>
      <c r="F107" s="6">
        <v>1104.93</v>
      </c>
      <c r="G107" s="6"/>
      <c r="K107" s="6">
        <v>3000.22</v>
      </c>
      <c r="L107" s="6"/>
      <c r="O107">
        <v>5044.3999999999996</v>
      </c>
    </row>
    <row r="108" spans="1:16" ht="14.5" x14ac:dyDescent="0.35">
      <c r="A108">
        <v>7791</v>
      </c>
      <c r="B108" t="s">
        <v>322</v>
      </c>
      <c r="C108" s="6"/>
      <c r="D108" s="6"/>
      <c r="F108" s="6">
        <v>170.15</v>
      </c>
      <c r="G108" s="6"/>
      <c r="K108" s="6">
        <v>261.67</v>
      </c>
      <c r="L108" s="6"/>
      <c r="O108">
        <v>100634.73</v>
      </c>
    </row>
    <row r="109" spans="1:16" ht="14.5" x14ac:dyDescent="0.35">
      <c r="A109">
        <v>7851</v>
      </c>
      <c r="B109" t="s">
        <v>133</v>
      </c>
      <c r="C109" s="6"/>
      <c r="D109" s="6"/>
      <c r="F109" s="6"/>
      <c r="G109" s="6">
        <v>-0.03</v>
      </c>
      <c r="K109" s="6">
        <v>30</v>
      </c>
      <c r="L109" s="6"/>
      <c r="P109">
        <v>0</v>
      </c>
    </row>
    <row r="110" spans="1:16" ht="14.5" x14ac:dyDescent="0.35">
      <c r="C110" s="6"/>
      <c r="D110" s="6"/>
      <c r="F110" s="6"/>
      <c r="G110" s="6"/>
      <c r="K110" s="6"/>
      <c r="L110" s="6"/>
    </row>
    <row r="111" spans="1:16" ht="14.5" x14ac:dyDescent="0.35">
      <c r="A111" s="7" t="s">
        <v>323</v>
      </c>
      <c r="B111" s="7"/>
      <c r="C111" s="8">
        <f>SUM(C83:D108)</f>
        <v>34111.47</v>
      </c>
      <c r="D111" s="8"/>
      <c r="F111" s="8">
        <f>SUM(F82:G109)</f>
        <v>102402.37999999998</v>
      </c>
      <c r="G111" s="8"/>
      <c r="K111" s="8">
        <f>SUM(K82:L109)</f>
        <v>58216.53</v>
      </c>
      <c r="L111" s="8"/>
      <c r="O111">
        <v>15000.52</v>
      </c>
    </row>
    <row r="112" spans="1:16" ht="14.5" x14ac:dyDescent="0.35">
      <c r="C112" s="6"/>
      <c r="D112" s="6"/>
      <c r="F112" s="6"/>
      <c r="G112" s="6"/>
      <c r="K112" s="6"/>
      <c r="L112" s="6"/>
      <c r="O112">
        <v>1942.83</v>
      </c>
    </row>
    <row r="113" spans="1:16" ht="14.5" x14ac:dyDescent="0.35">
      <c r="A113">
        <v>8100</v>
      </c>
      <c r="B113" t="s">
        <v>324</v>
      </c>
      <c r="C113" s="6"/>
      <c r="D113" s="6">
        <v>-163.01</v>
      </c>
      <c r="F113" s="6"/>
      <c r="G113" s="6">
        <v>-8403.08</v>
      </c>
      <c r="K113" s="6"/>
      <c r="L113" s="6">
        <v>-2081.7399999999998</v>
      </c>
      <c r="P113">
        <v>-2000</v>
      </c>
    </row>
    <row r="114" spans="1:16" ht="14.5" x14ac:dyDescent="0.35">
      <c r="A114">
        <v>8320</v>
      </c>
      <c r="B114" t="s">
        <v>325</v>
      </c>
      <c r="C114" s="6">
        <v>2661.52</v>
      </c>
      <c r="D114" s="6"/>
      <c r="F114" s="6">
        <v>8415.02</v>
      </c>
      <c r="G114" s="6"/>
      <c r="K114" s="6">
        <v>34.6</v>
      </c>
      <c r="L114" s="6"/>
      <c r="P114">
        <v>-8809.36</v>
      </c>
    </row>
    <row r="115" spans="1:16" ht="14.5" x14ac:dyDescent="0.35">
      <c r="A115">
        <v>8530</v>
      </c>
      <c r="B115" t="s">
        <v>326</v>
      </c>
      <c r="C115" s="19"/>
      <c r="D115" s="6"/>
      <c r="F115" s="6"/>
      <c r="G115" s="6"/>
      <c r="K115" s="6"/>
      <c r="L115" s="6"/>
      <c r="P115">
        <v>-92883.5</v>
      </c>
    </row>
    <row r="116" spans="1:16" ht="14.5" x14ac:dyDescent="0.35">
      <c r="A116">
        <v>8540</v>
      </c>
      <c r="B116" t="s">
        <v>327</v>
      </c>
      <c r="C116" s="6">
        <v>41</v>
      </c>
      <c r="D116" s="6"/>
      <c r="F116" s="6"/>
      <c r="G116" s="6"/>
      <c r="K116" s="6"/>
      <c r="L116" s="6"/>
      <c r="P116">
        <v>-3809.17</v>
      </c>
    </row>
    <row r="117" spans="1:16" ht="14.5" x14ac:dyDescent="0.35">
      <c r="C117" s="6"/>
      <c r="D117" s="6"/>
      <c r="F117" s="6"/>
      <c r="G117" s="6"/>
      <c r="K117" s="6"/>
      <c r="L117" s="6"/>
    </row>
    <row r="118" spans="1:16" ht="14.5" x14ac:dyDescent="0.35">
      <c r="A118" s="7" t="s">
        <v>328</v>
      </c>
      <c r="B118" s="7"/>
      <c r="C118" s="8">
        <f>SUM(C113:D116)</f>
        <v>2539.5100000000002</v>
      </c>
      <c r="D118" s="8"/>
      <c r="F118" s="8">
        <f>SUM(F113:G116)</f>
        <v>11.940000000000509</v>
      </c>
      <c r="G118" s="8"/>
      <c r="K118" s="8">
        <f>SUM(K113:K116)</f>
        <v>34.6</v>
      </c>
      <c r="L118" s="8">
        <f>SUM(L113:L116)</f>
        <v>-2081.7399999999998</v>
      </c>
      <c r="P118">
        <v>-58478.28</v>
      </c>
    </row>
    <row r="119" spans="1:16" ht="14.5" x14ac:dyDescent="0.35">
      <c r="C119" s="6"/>
      <c r="D119" s="6"/>
      <c r="F119" s="6"/>
      <c r="G119" s="6"/>
      <c r="K119" s="6"/>
      <c r="L119" s="6"/>
    </row>
    <row r="120" spans="1:16" ht="14.5" x14ac:dyDescent="0.35">
      <c r="A120">
        <v>9100</v>
      </c>
      <c r="B120" t="s">
        <v>329</v>
      </c>
      <c r="C120" s="6"/>
      <c r="D120" s="6">
        <v>-72220</v>
      </c>
      <c r="F120" s="6"/>
      <c r="G120" s="6">
        <v>-155980</v>
      </c>
      <c r="K120" s="6"/>
      <c r="L120" s="6">
        <v>-167040</v>
      </c>
    </row>
    <row r="121" spans="1:16" ht="14.5" x14ac:dyDescent="0.35">
      <c r="A121">
        <v>9110</v>
      </c>
      <c r="B121" t="s">
        <v>231</v>
      </c>
      <c r="C121" s="6"/>
      <c r="D121" s="6"/>
      <c r="F121" s="6"/>
      <c r="G121" s="20">
        <v>-35000</v>
      </c>
      <c r="H121" s="20">
        <f>+G121+G122+G123+G124</f>
        <v>-135480</v>
      </c>
      <c r="I121" s="20"/>
      <c r="K121" s="6"/>
      <c r="L121" s="6">
        <v>-35000</v>
      </c>
      <c r="P121">
        <v>-86753.11</v>
      </c>
    </row>
    <row r="122" spans="1:16" ht="14.5" x14ac:dyDescent="0.35">
      <c r="A122">
        <v>9111</v>
      </c>
      <c r="B122" t="s">
        <v>232</v>
      </c>
      <c r="C122" s="6"/>
      <c r="D122" s="6"/>
      <c r="F122" s="6"/>
      <c r="G122" s="20">
        <v>-70000</v>
      </c>
      <c r="K122" s="6"/>
      <c r="L122" s="6">
        <v>-70000</v>
      </c>
    </row>
    <row r="123" spans="1:16" ht="14.5" x14ac:dyDescent="0.35">
      <c r="A123">
        <v>9112</v>
      </c>
      <c r="B123" t="s">
        <v>233</v>
      </c>
      <c r="C123" s="6"/>
      <c r="D123" s="6"/>
      <c r="F123" s="6"/>
      <c r="G123" s="20">
        <v>-25000</v>
      </c>
      <c r="K123" s="6"/>
      <c r="L123" s="6">
        <v>-25000</v>
      </c>
      <c r="P123">
        <v>-25526</v>
      </c>
    </row>
    <row r="124" spans="1:16" ht="14.5" x14ac:dyDescent="0.35">
      <c r="A124">
        <v>9113</v>
      </c>
      <c r="B124" t="s">
        <v>330</v>
      </c>
      <c r="C124" s="6"/>
      <c r="D124" s="6"/>
      <c r="F124" s="6"/>
      <c r="G124" s="20">
        <v>-5480</v>
      </c>
      <c r="K124" s="6"/>
      <c r="L124" s="6">
        <v>-5480</v>
      </c>
    </row>
    <row r="125" spans="1:16" ht="14.5" x14ac:dyDescent="0.35">
      <c r="A125">
        <v>9114</v>
      </c>
      <c r="B125" t="s">
        <v>235</v>
      </c>
      <c r="C125" s="6"/>
      <c r="D125" s="6"/>
      <c r="F125" s="6"/>
      <c r="G125" s="20"/>
      <c r="K125" s="6"/>
      <c r="L125" s="6">
        <v>-1629</v>
      </c>
    </row>
    <row r="126" spans="1:16" ht="14.5" x14ac:dyDescent="0.35">
      <c r="A126">
        <v>9115</v>
      </c>
      <c r="B126" t="s">
        <v>236</v>
      </c>
      <c r="C126" s="6"/>
      <c r="D126" s="6"/>
      <c r="F126" s="6"/>
      <c r="G126" s="20"/>
      <c r="K126" s="6"/>
      <c r="L126" s="6">
        <v>-20500</v>
      </c>
      <c r="P126">
        <v>-4776.26</v>
      </c>
    </row>
    <row r="127" spans="1:16" ht="14.5" x14ac:dyDescent="0.35">
      <c r="A127">
        <v>9390</v>
      </c>
      <c r="B127" t="s">
        <v>240</v>
      </c>
      <c r="C127" s="6"/>
      <c r="D127" s="6"/>
      <c r="F127" s="6">
        <v>30676.560000000001</v>
      </c>
      <c r="G127" s="6"/>
      <c r="K127" s="6">
        <v>142516.21</v>
      </c>
      <c r="L127" s="6"/>
      <c r="P127">
        <v>-1063.8699999999999</v>
      </c>
    </row>
    <row r="128" spans="1:16" ht="14.5" x14ac:dyDescent="0.35">
      <c r="C128" s="6"/>
      <c r="D128" s="6"/>
      <c r="F128" s="6"/>
      <c r="G128" s="6"/>
      <c r="K128" s="6"/>
      <c r="L128" s="6"/>
      <c r="P128">
        <v>-5542.45</v>
      </c>
    </row>
    <row r="129" spans="1:16" ht="14.5" x14ac:dyDescent="0.35">
      <c r="A129" s="7" t="s">
        <v>331</v>
      </c>
      <c r="B129" s="7"/>
      <c r="C129" s="8"/>
      <c r="D129" s="8">
        <f>SUM(D120:D128)</f>
        <v>-72220</v>
      </c>
      <c r="F129" s="8"/>
      <c r="G129" s="8">
        <f>SUM(F120:G128)</f>
        <v>-260783.44</v>
      </c>
      <c r="K129" s="8"/>
      <c r="L129" s="8">
        <f>SUM(K120:L127)</f>
        <v>-182132.79</v>
      </c>
      <c r="P129">
        <v>0</v>
      </c>
    </row>
    <row r="130" spans="1:16" ht="14.25" customHeight="1" x14ac:dyDescent="0.35">
      <c r="K130" s="6"/>
      <c r="L130" s="6"/>
      <c r="P130">
        <v>-199758.99</v>
      </c>
    </row>
    <row r="131" spans="1:16" ht="14.25" customHeight="1" x14ac:dyDescent="0.35">
      <c r="P131">
        <v>-879888</v>
      </c>
    </row>
    <row r="132" spans="1:16" ht="14.25" customHeight="1" x14ac:dyDescent="0.35">
      <c r="P132">
        <v>-50000</v>
      </c>
    </row>
    <row r="133" spans="1:16" ht="14.5" x14ac:dyDescent="0.35">
      <c r="C133" s="6">
        <f>+C13+C29+C49+C67+C80+C111+C118+C129</f>
        <v>585112.49</v>
      </c>
      <c r="D133" s="6">
        <f>+D13+D29+D49+D67+D80+D111+D118+D129</f>
        <v>-585112.49</v>
      </c>
      <c r="F133" s="21">
        <f>+F13+F29+F49+F67+F80+F111+F118+F129</f>
        <v>1607620.7899999998</v>
      </c>
      <c r="G133" s="21">
        <f>+G13+G29+G49+G67+G80+G111+G118+G129</f>
        <v>-1003695.77</v>
      </c>
      <c r="O133">
        <v>766.11</v>
      </c>
    </row>
    <row r="134" spans="1:16" ht="14.5" x14ac:dyDescent="0.35">
      <c r="G134" s="18">
        <f>+F132+G132</f>
        <v>0</v>
      </c>
      <c r="P134">
        <v>-360</v>
      </c>
    </row>
    <row r="135" spans="1:16" ht="14.25" customHeight="1" x14ac:dyDescent="0.35">
      <c r="P135">
        <v>-510</v>
      </c>
    </row>
    <row r="136" spans="1:16" ht="14.25" customHeight="1" x14ac:dyDescent="0.35">
      <c r="P136">
        <v>-2214.5500000000002</v>
      </c>
    </row>
    <row r="137" spans="1:16" ht="14.25" customHeight="1" x14ac:dyDescent="0.35">
      <c r="P137">
        <v>-100</v>
      </c>
    </row>
    <row r="138" spans="1:16" ht="14.25" customHeight="1" x14ac:dyDescent="0.35">
      <c r="P138">
        <v>-33517.07</v>
      </c>
    </row>
    <row r="139" spans="1:16" ht="14.25" customHeight="1" x14ac:dyDescent="0.35">
      <c r="P139">
        <v>-60944.45</v>
      </c>
    </row>
    <row r="140" spans="1:16" ht="14.25" customHeight="1" x14ac:dyDescent="0.35">
      <c r="P140">
        <v>-321312.46000000002</v>
      </c>
    </row>
    <row r="141" spans="1:16" ht="14.25" customHeight="1" x14ac:dyDescent="0.35">
      <c r="P141">
        <v>-56295.17</v>
      </c>
    </row>
    <row r="142" spans="1:16" ht="14.25" customHeight="1" x14ac:dyDescent="0.35">
      <c r="P142">
        <v>-879.7</v>
      </c>
    </row>
    <row r="143" spans="1:16" ht="14.25" customHeight="1" x14ac:dyDescent="0.35">
      <c r="P143">
        <v>-10175.870000000001</v>
      </c>
    </row>
    <row r="144" spans="1:16" ht="14.25" customHeight="1" x14ac:dyDescent="0.35">
      <c r="P144">
        <v>-3333.33</v>
      </c>
    </row>
    <row r="145" spans="15:16" ht="14.25" customHeight="1" x14ac:dyDescent="0.35">
      <c r="P145">
        <v>-17625.740000000002</v>
      </c>
    </row>
    <row r="147" spans="15:16" ht="14.25" customHeight="1" x14ac:dyDescent="0.35">
      <c r="P147">
        <v>-1238</v>
      </c>
    </row>
    <row r="148" spans="15:16" ht="14.25" customHeight="1" x14ac:dyDescent="0.35">
      <c r="P148">
        <v>-2500</v>
      </c>
    </row>
    <row r="150" spans="15:16" ht="14.25" customHeight="1" x14ac:dyDescent="0.35">
      <c r="P150">
        <v>-6643</v>
      </c>
    </row>
    <row r="157" spans="15:16" ht="14.25" customHeight="1" x14ac:dyDescent="0.35">
      <c r="O157">
        <v>47609.86</v>
      </c>
    </row>
    <row r="158" spans="15:16" ht="14.25" customHeight="1" x14ac:dyDescent="0.35">
      <c r="O158">
        <v>1193.05</v>
      </c>
    </row>
    <row r="159" spans="15:16" ht="14.25" customHeight="1" x14ac:dyDescent="0.35">
      <c r="O159">
        <v>211260.44</v>
      </c>
    </row>
    <row r="160" spans="15:16" ht="14.25" customHeight="1" x14ac:dyDescent="0.35">
      <c r="O160">
        <v>34977.81</v>
      </c>
    </row>
    <row r="161" spans="15:16" ht="14.25" customHeight="1" x14ac:dyDescent="0.35">
      <c r="O161">
        <v>1000.08</v>
      </c>
    </row>
    <row r="162" spans="15:16" ht="14.25" customHeight="1" x14ac:dyDescent="0.35">
      <c r="P162">
        <v>-1961.96</v>
      </c>
    </row>
    <row r="163" spans="15:16" ht="14.25" customHeight="1" x14ac:dyDescent="0.35">
      <c r="O163">
        <v>77306.73</v>
      </c>
    </row>
    <row r="164" spans="15:16" ht="14.25" customHeight="1" x14ac:dyDescent="0.35">
      <c r="O164">
        <v>19176.599999999999</v>
      </c>
    </row>
    <row r="165" spans="15:16" ht="14.25" customHeight="1" x14ac:dyDescent="0.35">
      <c r="O165">
        <v>175.7</v>
      </c>
    </row>
    <row r="166" spans="15:16" ht="14.25" customHeight="1" x14ac:dyDescent="0.35">
      <c r="O166">
        <v>1183.8399999999999</v>
      </c>
    </row>
    <row r="167" spans="15:16" ht="14.25" customHeight="1" x14ac:dyDescent="0.35">
      <c r="O167">
        <v>11.54</v>
      </c>
    </row>
    <row r="168" spans="15:16" ht="14.25" customHeight="1" x14ac:dyDescent="0.35">
      <c r="P168">
        <v>-12352.9</v>
      </c>
    </row>
    <row r="171" spans="15:16" ht="14.25" customHeight="1" x14ac:dyDescent="0.35">
      <c r="O171">
        <v>141468.49</v>
      </c>
    </row>
    <row r="176" spans="15:16" ht="14.25" customHeight="1" x14ac:dyDescent="0.35">
      <c r="O176">
        <v>21543.96</v>
      </c>
    </row>
    <row r="186" spans="15:15" ht="14.25" customHeight="1" x14ac:dyDescent="0.35">
      <c r="O186">
        <v>2380.3000000000002</v>
      </c>
    </row>
    <row r="187" spans="15:15" ht="14.25" customHeight="1" x14ac:dyDescent="0.35">
      <c r="O187">
        <v>32521.86</v>
      </c>
    </row>
    <row r="189" spans="15:15" ht="14.25" customHeight="1" x14ac:dyDescent="0.35">
      <c r="O189">
        <v>3712.24</v>
      </c>
    </row>
    <row r="191" spans="15:15" ht="14.25" customHeight="1" x14ac:dyDescent="0.35">
      <c r="O191">
        <v>361.18</v>
      </c>
    </row>
    <row r="192" spans="15:15" ht="14.25" customHeight="1" x14ac:dyDescent="0.35">
      <c r="O192">
        <v>4890.3599999999997</v>
      </c>
    </row>
    <row r="193" spans="15:15" ht="14.25" customHeight="1" x14ac:dyDescent="0.35">
      <c r="O193">
        <v>470</v>
      </c>
    </row>
    <row r="198" spans="15:15" ht="14.25" customHeight="1" x14ac:dyDescent="0.35">
      <c r="O198">
        <v>86.36</v>
      </c>
    </row>
    <row r="202" spans="15:15" ht="14.25" customHeight="1" x14ac:dyDescent="0.35">
      <c r="O202">
        <v>5731.39</v>
      </c>
    </row>
    <row r="203" spans="15:15" ht="14.25" customHeight="1" x14ac:dyDescent="0.35">
      <c r="O203">
        <v>4.0999999999999996</v>
      </c>
    </row>
    <row r="204" spans="15:15" ht="14.25" customHeight="1" x14ac:dyDescent="0.35">
      <c r="O204">
        <v>3883.2</v>
      </c>
    </row>
    <row r="205" spans="15:15" ht="14.25" customHeight="1" x14ac:dyDescent="0.35">
      <c r="O205">
        <v>30529.05</v>
      </c>
    </row>
    <row r="206" spans="15:15" ht="14.25" customHeight="1" x14ac:dyDescent="0.35">
      <c r="O206">
        <v>11178.44</v>
      </c>
    </row>
    <row r="207" spans="15:15" ht="14.25" customHeight="1" x14ac:dyDescent="0.35">
      <c r="O207">
        <v>150</v>
      </c>
    </row>
    <row r="208" spans="15:15" ht="14.25" customHeight="1" x14ac:dyDescent="0.35">
      <c r="O208">
        <v>1101.06</v>
      </c>
    </row>
    <row r="209" spans="15:15" ht="14.25" customHeight="1" x14ac:dyDescent="0.35">
      <c r="O209">
        <v>5669.76</v>
      </c>
    </row>
    <row r="210" spans="15:15" ht="14.25" customHeight="1" x14ac:dyDescent="0.35">
      <c r="O210">
        <v>3510.89</v>
      </c>
    </row>
    <row r="211" spans="15:15" ht="14.25" customHeight="1" x14ac:dyDescent="0.35">
      <c r="O211">
        <v>3221.98</v>
      </c>
    </row>
    <row r="212" spans="15:15" ht="14.25" customHeight="1" x14ac:dyDescent="0.35">
      <c r="O212">
        <v>632.89</v>
      </c>
    </row>
    <row r="213" spans="15:15" ht="14.25" customHeight="1" x14ac:dyDescent="0.35">
      <c r="O213">
        <v>75</v>
      </c>
    </row>
    <row r="214" spans="15:15" ht="14.25" customHeight="1" x14ac:dyDescent="0.35">
      <c r="O214">
        <v>1352.24</v>
      </c>
    </row>
    <row r="215" spans="15:15" ht="14.25" customHeight="1" x14ac:dyDescent="0.35">
      <c r="O215">
        <v>76718.53</v>
      </c>
    </row>
    <row r="217" spans="15:15" ht="14.25" customHeight="1" x14ac:dyDescent="0.35">
      <c r="O217">
        <v>3907.71</v>
      </c>
    </row>
    <row r="220" spans="15:15" ht="14.25" customHeight="1" x14ac:dyDescent="0.35">
      <c r="O220">
        <v>684.82</v>
      </c>
    </row>
    <row r="221" spans="15:15" ht="14.25" customHeight="1" x14ac:dyDescent="0.35">
      <c r="O221">
        <v>275.33999999999997</v>
      </c>
    </row>
    <row r="222" spans="15:15" ht="14.25" customHeight="1" x14ac:dyDescent="0.35">
      <c r="O222">
        <v>554</v>
      </c>
    </row>
    <row r="227" spans="15:15" ht="14.25" customHeight="1" x14ac:dyDescent="0.35">
      <c r="O227">
        <v>191.31</v>
      </c>
    </row>
    <row r="228" spans="15:15" ht="14.25" customHeight="1" x14ac:dyDescent="0.35">
      <c r="O228">
        <v>3409.08</v>
      </c>
    </row>
    <row r="230" spans="15:15" ht="14.25" customHeight="1" x14ac:dyDescent="0.35">
      <c r="O230">
        <v>574</v>
      </c>
    </row>
    <row r="231" spans="15:15" ht="14.25" customHeight="1" x14ac:dyDescent="0.35">
      <c r="O231">
        <v>4160</v>
      </c>
    </row>
    <row r="232" spans="15:15" ht="14.25" customHeight="1" x14ac:dyDescent="0.35">
      <c r="O232">
        <v>632.15</v>
      </c>
    </row>
    <row r="234" spans="15:15" ht="14.25" customHeight="1" x14ac:dyDescent="0.35">
      <c r="O234">
        <v>508</v>
      </c>
    </row>
    <row r="236" spans="15:15" ht="14.25" customHeight="1" x14ac:dyDescent="0.35">
      <c r="O236">
        <v>2183.17</v>
      </c>
    </row>
    <row r="237" spans="15:15" ht="14.25" customHeight="1" x14ac:dyDescent="0.35">
      <c r="O237">
        <v>2726.49</v>
      </c>
    </row>
    <row r="238" spans="15:15" ht="14.25" customHeight="1" x14ac:dyDescent="0.35">
      <c r="O238">
        <v>2521.91</v>
      </c>
    </row>
    <row r="239" spans="15:15" ht="14.25" customHeight="1" x14ac:dyDescent="0.35">
      <c r="O239">
        <v>1606.83</v>
      </c>
    </row>
    <row r="242" spans="15:16" ht="14.25" customHeight="1" x14ac:dyDescent="0.35">
      <c r="O242">
        <v>1809.45</v>
      </c>
    </row>
    <row r="243" spans="15:16" ht="14.25" customHeight="1" x14ac:dyDescent="0.35">
      <c r="O243">
        <v>29.99</v>
      </c>
    </row>
    <row r="244" spans="15:16" ht="14.25" customHeight="1" x14ac:dyDescent="0.35">
      <c r="P244">
        <v>-4521.0200000000004</v>
      </c>
    </row>
    <row r="245" spans="15:16" ht="14.25" customHeight="1" x14ac:dyDescent="0.35">
      <c r="O245">
        <v>5686.35</v>
      </c>
    </row>
    <row r="246" spans="15:16" ht="14.25" customHeight="1" x14ac:dyDescent="0.35">
      <c r="O246">
        <v>34.6</v>
      </c>
    </row>
    <row r="251" spans="15:16" ht="14.25" customHeight="1" x14ac:dyDescent="0.35">
      <c r="P251">
        <v>-217940</v>
      </c>
    </row>
    <row r="252" spans="15:16" ht="14.25" customHeight="1" x14ac:dyDescent="0.35">
      <c r="P252">
        <v>-35000</v>
      </c>
    </row>
    <row r="253" spans="15:16" ht="14.25" customHeight="1" x14ac:dyDescent="0.35">
      <c r="P253">
        <v>-70000</v>
      </c>
    </row>
    <row r="254" spans="15:16" ht="14.25" customHeight="1" x14ac:dyDescent="0.35">
      <c r="P254">
        <v>-25000</v>
      </c>
    </row>
    <row r="255" spans="15:16" ht="14.25" customHeight="1" x14ac:dyDescent="0.35">
      <c r="P255">
        <v>-5480</v>
      </c>
    </row>
    <row r="256" spans="15:16" ht="14.25" customHeight="1" x14ac:dyDescent="0.35">
      <c r="P256">
        <v>-1629</v>
      </c>
    </row>
    <row r="257" spans="15:16" ht="14.25" customHeight="1" x14ac:dyDescent="0.35">
      <c r="P257">
        <v>-20500</v>
      </c>
    </row>
    <row r="261" spans="15:16" ht="14.25" customHeight="1" x14ac:dyDescent="0.35">
      <c r="O261">
        <v>142516.21</v>
      </c>
    </row>
  </sheetData>
  <pageMargins left="0.7" right="0.7" top="0.78749999999999998" bottom="0.78749999999999998" header="0.511811023622047" footer="0.511811023622047"/>
  <pageSetup paperSize="9" scale="66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77"/>
  <sheetViews>
    <sheetView showGridLines="0" view="pageBreakPreview" zoomScale="75" zoomScaleNormal="100" zoomScaleSheetLayoutView="75" workbookViewId="0">
      <pane xSplit="3" ySplit="3" topLeftCell="Y25" activePane="bottomRight" state="frozen"/>
      <selection pane="topRight" activeCell="D1" sqref="D1"/>
      <selection pane="bottomLeft" activeCell="A13" sqref="A13"/>
      <selection pane="bottomRight" activeCell="AJ15" sqref="AJ15"/>
    </sheetView>
  </sheetViews>
  <sheetFormatPr baseColWidth="10" defaultColWidth="10.54296875" defaultRowHeight="14.25" customHeight="1" x14ac:dyDescent="0.4"/>
  <cols>
    <col min="1" max="1" width="6" style="30" customWidth="1"/>
    <col min="2" max="2" width="65.453125" style="30" customWidth="1"/>
    <col min="3" max="3" width="13.81640625" style="31" customWidth="1"/>
    <col min="4" max="4" width="13.1796875" style="30" customWidth="1"/>
    <col min="5" max="5" width="1.7265625" style="30" customWidth="1"/>
    <col min="6" max="6" width="14.453125" style="30" customWidth="1"/>
    <col min="7" max="7" width="8" style="32" customWidth="1"/>
    <col min="8" max="8" width="7.81640625" style="30" customWidth="1"/>
    <col min="9" max="9" width="8.1796875" style="30" customWidth="1"/>
    <col min="10" max="10" width="7.81640625" style="30" customWidth="1"/>
    <col min="11" max="11" width="7.7265625" style="30" customWidth="1"/>
    <col min="12" max="12" width="7.453125" style="30" customWidth="1"/>
    <col min="13" max="13" width="6.54296875" style="30" customWidth="1"/>
    <col min="14" max="14" width="8.1796875" style="30" customWidth="1"/>
    <col min="15" max="15" width="7.81640625" style="30" customWidth="1"/>
    <col min="16" max="16" width="7.7265625" style="30" customWidth="1"/>
    <col min="17" max="18" width="9" style="30" customWidth="1"/>
    <col min="19" max="19" width="10.1796875" style="30" customWidth="1"/>
    <col min="20" max="21" width="2.26953125" style="30" customWidth="1"/>
    <col min="22" max="22" width="10" style="30" customWidth="1"/>
    <col min="23" max="23" width="11" style="30" customWidth="1"/>
    <col min="24" max="24" width="13.1796875" style="33" customWidth="1"/>
    <col min="25" max="25" width="11.54296875" style="30" customWidth="1"/>
    <col min="26" max="26" width="10.453125" style="30" customWidth="1"/>
    <col min="27" max="27" width="12.54296875" style="30" customWidth="1"/>
    <col min="28" max="33" width="10.54296875" style="30"/>
    <col min="34" max="34" width="2.26953125" style="30" customWidth="1"/>
    <col min="35" max="35" width="4.81640625" style="30" customWidth="1"/>
    <col min="36" max="37" width="10.54296875" style="30"/>
    <col min="38" max="38" width="14" style="34" customWidth="1"/>
    <col min="39" max="16384" width="10.54296875" style="30"/>
  </cols>
  <sheetData>
    <row r="1" spans="1:38" ht="14.5" x14ac:dyDescent="0.4">
      <c r="A1" s="35" t="s">
        <v>332</v>
      </c>
      <c r="B1" s="35" t="s">
        <v>380</v>
      </c>
      <c r="C1" s="36"/>
      <c r="D1" s="37"/>
      <c r="E1" s="37"/>
      <c r="F1" s="38"/>
      <c r="G1" s="39"/>
      <c r="H1" s="40">
        <v>2024</v>
      </c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1"/>
      <c r="V1" s="42">
        <v>2025</v>
      </c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3"/>
      <c r="AJ1" s="43">
        <v>2026</v>
      </c>
      <c r="AK1" s="43"/>
    </row>
    <row r="2" spans="1:38" ht="29" x14ac:dyDescent="0.4">
      <c r="B2" s="44" t="s">
        <v>335</v>
      </c>
      <c r="C2" s="45" t="s">
        <v>381</v>
      </c>
      <c r="D2" s="46" t="s">
        <v>382</v>
      </c>
      <c r="E2" s="47"/>
      <c r="F2" s="48" t="s">
        <v>383</v>
      </c>
      <c r="G2" s="49"/>
      <c r="H2" s="25">
        <v>2</v>
      </c>
      <c r="I2" s="25">
        <v>3</v>
      </c>
      <c r="J2" s="25">
        <v>4</v>
      </c>
      <c r="K2" s="25">
        <v>5</v>
      </c>
      <c r="L2" s="25">
        <v>6</v>
      </c>
      <c r="M2" s="25">
        <v>7</v>
      </c>
      <c r="N2" s="25">
        <v>8</v>
      </c>
      <c r="O2" s="25">
        <v>9</v>
      </c>
      <c r="P2" s="25">
        <v>10</v>
      </c>
      <c r="Q2" s="25">
        <v>11</v>
      </c>
      <c r="R2" s="25">
        <v>12</v>
      </c>
      <c r="S2" s="25">
        <v>1</v>
      </c>
      <c r="T2" s="25"/>
      <c r="U2" s="50"/>
      <c r="V2" s="25">
        <v>2</v>
      </c>
      <c r="W2" s="25">
        <v>3</v>
      </c>
      <c r="X2" s="51">
        <v>4</v>
      </c>
      <c r="Y2" s="25">
        <v>5</v>
      </c>
      <c r="Z2" s="25">
        <v>6</v>
      </c>
      <c r="AA2" s="25">
        <v>7</v>
      </c>
      <c r="AB2" s="25">
        <v>8</v>
      </c>
      <c r="AC2" s="25">
        <v>9</v>
      </c>
      <c r="AD2" s="25">
        <v>10</v>
      </c>
      <c r="AE2" s="25">
        <v>11</v>
      </c>
      <c r="AF2" s="25">
        <v>12</v>
      </c>
      <c r="AG2" s="25">
        <v>1</v>
      </c>
      <c r="AH2" s="25"/>
      <c r="AI2" s="52"/>
      <c r="AJ2" s="25">
        <v>2</v>
      </c>
      <c r="AK2" s="25">
        <v>3</v>
      </c>
      <c r="AL2" s="25"/>
    </row>
    <row r="3" spans="1:38" ht="14.5" x14ac:dyDescent="0.4">
      <c r="B3" s="53" t="s">
        <v>384</v>
      </c>
      <c r="C3" s="54">
        <f>SUM(C4:C19)</f>
        <v>194557</v>
      </c>
      <c r="D3" s="55">
        <f>SUM(D4:D19)</f>
        <v>62060</v>
      </c>
      <c r="E3" s="55"/>
      <c r="F3" s="56">
        <f>SUM(F4:F19)</f>
        <v>102060</v>
      </c>
      <c r="G3" s="57"/>
      <c r="H3" s="58"/>
      <c r="I3" s="58"/>
      <c r="J3" s="58"/>
      <c r="K3" s="58"/>
      <c r="L3" s="58"/>
      <c r="M3" s="58"/>
      <c r="N3" s="58"/>
      <c r="O3" s="58"/>
      <c r="P3" s="58"/>
      <c r="Q3" s="59"/>
      <c r="R3" s="58"/>
      <c r="S3" s="58"/>
      <c r="T3" s="58"/>
      <c r="U3" s="60"/>
      <c r="V3" s="58"/>
      <c r="W3" s="58"/>
      <c r="X3" s="61"/>
      <c r="Y3" s="61">
        <f t="shared" ref="Y3:AG3" si="0">SUM(Y4:Y19)</f>
        <v>6177</v>
      </c>
      <c r="Z3" s="61">
        <f t="shared" si="0"/>
        <v>0</v>
      </c>
      <c r="AA3" s="61">
        <f t="shared" si="0"/>
        <v>1986.1000000000004</v>
      </c>
      <c r="AB3" s="61">
        <f t="shared" si="0"/>
        <v>24056.216666666667</v>
      </c>
      <c r="AC3" s="61">
        <f t="shared" si="0"/>
        <v>8384.8083333333343</v>
      </c>
      <c r="AD3" s="61">
        <f t="shared" si="0"/>
        <v>25905.875</v>
      </c>
      <c r="AE3" s="61">
        <f t="shared" si="0"/>
        <v>0</v>
      </c>
      <c r="AF3" s="61">
        <f t="shared" si="0"/>
        <v>33740</v>
      </c>
      <c r="AG3" s="61">
        <f t="shared" si="0"/>
        <v>0</v>
      </c>
      <c r="AH3" s="58"/>
      <c r="AI3" s="62"/>
      <c r="AJ3" s="61">
        <f>SUM(AJ4:AJ19)</f>
        <v>9826.6666666666679</v>
      </c>
      <c r="AK3" s="61">
        <f>SUM(AK4:AK19)</f>
        <v>0</v>
      </c>
      <c r="AL3" s="34">
        <f>SUM(H4:AG19)-F3</f>
        <v>0</v>
      </c>
    </row>
    <row r="4" spans="1:38" s="63" customFormat="1" ht="14.5" x14ac:dyDescent="0.4">
      <c r="A4" s="63" t="s">
        <v>385</v>
      </c>
      <c r="B4" s="64" t="s">
        <v>386</v>
      </c>
      <c r="C4" s="65">
        <v>11000</v>
      </c>
      <c r="D4" s="66">
        <v>0</v>
      </c>
      <c r="E4" s="66"/>
      <c r="F4" s="67">
        <v>0</v>
      </c>
      <c r="G4" s="68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9"/>
      <c r="V4" s="66"/>
      <c r="W4" s="66"/>
      <c r="X4" s="66"/>
      <c r="Y4" s="70"/>
      <c r="Z4" s="70"/>
      <c r="AA4" s="70"/>
      <c r="AB4" s="70"/>
      <c r="AC4" s="66"/>
      <c r="AD4" s="70">
        <f t="shared" ref="AD4:AD10" si="1">F4-SUM(H4:AC4)</f>
        <v>0</v>
      </c>
      <c r="AE4" s="66"/>
      <c r="AF4" s="66"/>
      <c r="AG4" s="66"/>
      <c r="AH4" s="66"/>
      <c r="AI4" s="71"/>
      <c r="AJ4" s="66"/>
      <c r="AK4" s="66"/>
      <c r="AL4" s="72">
        <f t="shared" ref="AL4:AL16" si="2">F4-SUM(H4:AG4)</f>
        <v>0</v>
      </c>
    </row>
    <row r="5" spans="1:38" ht="14.5" x14ac:dyDescent="0.4">
      <c r="A5" s="30" t="s">
        <v>387</v>
      </c>
      <c r="B5" s="73" t="s">
        <v>388</v>
      </c>
      <c r="C5" s="74"/>
      <c r="D5" s="75">
        <v>1810</v>
      </c>
      <c r="E5" s="33"/>
      <c r="F5" s="76">
        <v>1810</v>
      </c>
      <c r="G5" s="49"/>
      <c r="H5" s="33"/>
      <c r="I5" s="33"/>
      <c r="J5" s="33"/>
      <c r="K5" s="33"/>
      <c r="L5" s="33"/>
      <c r="M5" s="33"/>
      <c r="N5" s="33"/>
      <c r="O5" s="33"/>
      <c r="P5" s="33"/>
      <c r="Q5" s="33"/>
      <c r="R5" s="75">
        <v>1810</v>
      </c>
      <c r="S5" s="33"/>
      <c r="T5" s="33"/>
      <c r="U5" s="50"/>
      <c r="V5" s="33"/>
      <c r="W5" s="33"/>
      <c r="Y5" s="70"/>
      <c r="Z5" s="70"/>
      <c r="AA5" s="70"/>
      <c r="AB5" s="70"/>
      <c r="AC5" s="33"/>
      <c r="AD5" s="70">
        <f t="shared" si="1"/>
        <v>0</v>
      </c>
      <c r="AE5" s="33"/>
      <c r="AF5" s="33"/>
      <c r="AG5" s="33"/>
      <c r="AH5" s="33"/>
      <c r="AI5" s="77"/>
      <c r="AJ5" s="33"/>
      <c r="AK5" s="33"/>
      <c r="AL5" s="34">
        <f t="shared" si="2"/>
        <v>0</v>
      </c>
    </row>
    <row r="6" spans="1:38" ht="14.5" x14ac:dyDescent="0.4">
      <c r="A6" s="30" t="s">
        <v>387</v>
      </c>
      <c r="B6" s="78" t="s">
        <v>389</v>
      </c>
      <c r="C6" s="79">
        <v>4950</v>
      </c>
      <c r="D6" s="70">
        <v>4500</v>
      </c>
      <c r="E6" s="70"/>
      <c r="F6" s="80">
        <f>D6</f>
        <v>4500</v>
      </c>
      <c r="G6" s="49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81"/>
      <c r="V6" s="70"/>
      <c r="W6" s="70"/>
      <c r="X6" s="70"/>
      <c r="Y6" s="70"/>
      <c r="Z6" s="70"/>
      <c r="AA6" s="70"/>
      <c r="AB6" s="70"/>
      <c r="AC6" s="70"/>
      <c r="AD6" s="70">
        <f t="shared" si="1"/>
        <v>4500</v>
      </c>
      <c r="AE6" s="70"/>
      <c r="AF6" s="70"/>
      <c r="AG6" s="70"/>
      <c r="AH6" s="70"/>
      <c r="AI6" s="82"/>
      <c r="AJ6" s="70"/>
      <c r="AK6" s="70"/>
      <c r="AL6" s="34">
        <f t="shared" si="2"/>
        <v>0</v>
      </c>
    </row>
    <row r="7" spans="1:38" ht="14.5" x14ac:dyDescent="0.4">
      <c r="A7" s="30" t="s">
        <v>387</v>
      </c>
      <c r="B7" s="78" t="s">
        <v>390</v>
      </c>
      <c r="C7" s="79">
        <v>2750</v>
      </c>
      <c r="D7" s="83">
        <v>2750</v>
      </c>
      <c r="E7" s="70"/>
      <c r="F7" s="80">
        <f>D7</f>
        <v>2750</v>
      </c>
      <c r="G7" s="49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81"/>
      <c r="V7" s="70"/>
      <c r="W7" s="70"/>
      <c r="X7" s="70"/>
      <c r="Y7" s="70"/>
      <c r="Z7" s="70"/>
      <c r="AA7" s="70"/>
      <c r="AB7" s="70"/>
      <c r="AD7" s="70">
        <f t="shared" si="1"/>
        <v>2750</v>
      </c>
      <c r="AE7" s="70"/>
      <c r="AF7" s="70"/>
      <c r="AG7" s="70"/>
      <c r="AH7" s="70"/>
      <c r="AI7" s="82"/>
      <c r="AJ7" s="70"/>
      <c r="AK7" s="70"/>
      <c r="AL7" s="34">
        <f t="shared" si="2"/>
        <v>0</v>
      </c>
    </row>
    <row r="8" spans="1:38" ht="14.5" x14ac:dyDescent="0.4">
      <c r="A8" s="30" t="s">
        <v>387</v>
      </c>
      <c r="B8" s="84" t="s">
        <v>391</v>
      </c>
      <c r="C8" s="79">
        <v>770</v>
      </c>
      <c r="D8" s="70">
        <v>450</v>
      </c>
      <c r="E8" s="70"/>
      <c r="F8" s="80">
        <f>D8</f>
        <v>450</v>
      </c>
      <c r="G8" s="49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81"/>
      <c r="V8" s="70"/>
      <c r="W8" s="70"/>
      <c r="X8" s="70"/>
      <c r="Y8" s="70"/>
      <c r="Z8" s="70"/>
      <c r="AA8" s="70"/>
      <c r="AB8" s="70"/>
      <c r="AC8" s="70"/>
      <c r="AD8" s="70">
        <f t="shared" si="1"/>
        <v>450</v>
      </c>
      <c r="AE8" s="70"/>
      <c r="AF8" s="70"/>
      <c r="AG8" s="70"/>
      <c r="AH8" s="70"/>
      <c r="AI8" s="82"/>
      <c r="AJ8" s="70"/>
      <c r="AK8" s="70"/>
      <c r="AL8" s="34">
        <f t="shared" si="2"/>
        <v>0</v>
      </c>
    </row>
    <row r="9" spans="1:38" ht="14.5" x14ac:dyDescent="0.4">
      <c r="A9" s="30" t="s">
        <v>387</v>
      </c>
      <c r="B9" s="84" t="s">
        <v>392</v>
      </c>
      <c r="C9" s="79">
        <v>5000</v>
      </c>
      <c r="D9" s="70">
        <v>2500</v>
      </c>
      <c r="E9" s="70"/>
      <c r="F9" s="80">
        <v>1500</v>
      </c>
      <c r="G9" s="49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81"/>
      <c r="V9" s="70"/>
      <c r="W9" s="70"/>
      <c r="X9" s="70"/>
      <c r="Y9" s="70"/>
      <c r="Z9" s="70"/>
      <c r="AA9" s="70">
        <f>(1068.92+14.8)/1.2</f>
        <v>903.1</v>
      </c>
      <c r="AB9" s="70"/>
      <c r="AC9" s="70"/>
      <c r="AD9" s="70">
        <f t="shared" si="1"/>
        <v>596.9</v>
      </c>
      <c r="AE9" s="70"/>
      <c r="AF9" s="70"/>
      <c r="AG9" s="70"/>
      <c r="AH9" s="70"/>
      <c r="AI9" s="82"/>
      <c r="AJ9" s="70"/>
      <c r="AK9" s="70"/>
      <c r="AL9" s="34">
        <f t="shared" si="2"/>
        <v>0</v>
      </c>
    </row>
    <row r="10" spans="1:38" ht="14.5" x14ac:dyDescent="0.4">
      <c r="A10" s="30" t="s">
        <v>387</v>
      </c>
      <c r="B10" s="84" t="s">
        <v>393</v>
      </c>
      <c r="C10" s="79">
        <v>9000</v>
      </c>
      <c r="D10" s="70">
        <v>15000</v>
      </c>
      <c r="E10" s="70"/>
      <c r="F10" s="80">
        <f>D10</f>
        <v>15000</v>
      </c>
      <c r="G10" s="49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81"/>
      <c r="V10" s="70"/>
      <c r="W10" s="70"/>
      <c r="X10" s="70"/>
      <c r="Y10" s="70"/>
      <c r="Z10" s="70"/>
      <c r="AA10" s="70"/>
      <c r="AB10" s="70"/>
      <c r="AC10" s="70">
        <f>9000/1.2</f>
        <v>7500</v>
      </c>
      <c r="AD10" s="70">
        <f t="shared" si="1"/>
        <v>7500</v>
      </c>
      <c r="AE10" s="70"/>
      <c r="AF10" s="70"/>
      <c r="AG10" s="70"/>
      <c r="AH10" s="70"/>
      <c r="AI10" s="82"/>
      <c r="AJ10" s="70"/>
      <c r="AK10" s="70"/>
      <c r="AL10" s="34">
        <f t="shared" si="2"/>
        <v>0</v>
      </c>
    </row>
    <row r="11" spans="1:38" ht="14.5" x14ac:dyDescent="0.4">
      <c r="A11" s="30" t="s">
        <v>387</v>
      </c>
      <c r="B11" s="84" t="s">
        <v>394</v>
      </c>
      <c r="C11" s="79">
        <v>25000</v>
      </c>
      <c r="D11" s="70">
        <v>0</v>
      </c>
      <c r="E11" s="70"/>
      <c r="F11" s="85">
        <v>41000</v>
      </c>
      <c r="G11" s="49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81"/>
      <c r="V11" s="70"/>
      <c r="W11" s="70"/>
      <c r="X11" s="70"/>
      <c r="Y11" s="70">
        <v>6177</v>
      </c>
      <c r="Z11" s="70"/>
      <c r="AA11" s="70">
        <f>(1282.7+16.9)/1.2</f>
        <v>1083.0000000000002</v>
      </c>
      <c r="AB11" s="70"/>
      <c r="AC11" s="70"/>
      <c r="AD11" s="70"/>
      <c r="AF11" s="70">
        <f>F11-AA11-Y11</f>
        <v>33740</v>
      </c>
      <c r="AG11" s="70"/>
      <c r="AH11" s="70"/>
      <c r="AI11" s="82"/>
      <c r="AJ11" s="70"/>
      <c r="AK11" s="70"/>
      <c r="AL11" s="34">
        <f t="shared" si="2"/>
        <v>0</v>
      </c>
    </row>
    <row r="12" spans="1:38" ht="14.5" x14ac:dyDescent="0.4">
      <c r="A12" s="30" t="s">
        <v>395</v>
      </c>
      <c r="B12" s="84" t="s">
        <v>396</v>
      </c>
      <c r="C12" s="79">
        <v>8000</v>
      </c>
      <c r="D12" s="83">
        <v>3050</v>
      </c>
      <c r="E12" s="70"/>
      <c r="F12" s="86">
        <f>D12</f>
        <v>3050</v>
      </c>
      <c r="G12" s="49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81"/>
      <c r="V12" s="70"/>
      <c r="W12" s="70"/>
      <c r="X12" s="70"/>
      <c r="Y12" s="70"/>
      <c r="Z12" s="70"/>
      <c r="AA12" s="70"/>
      <c r="AB12" s="70">
        <f>3660/1.2</f>
        <v>3050</v>
      </c>
      <c r="AC12" s="70"/>
      <c r="AD12" s="70">
        <f t="shared" ref="AD12:AD19" si="3">F12-SUM(H12:AC12)</f>
        <v>0</v>
      </c>
      <c r="AE12" s="70"/>
      <c r="AF12" s="70"/>
      <c r="AG12" s="70"/>
      <c r="AH12" s="70"/>
      <c r="AI12" s="82"/>
      <c r="AJ12" s="70"/>
      <c r="AK12" s="70"/>
      <c r="AL12" s="34">
        <f t="shared" si="2"/>
        <v>0</v>
      </c>
    </row>
    <row r="13" spans="1:38" ht="14.5" x14ac:dyDescent="0.4">
      <c r="A13" s="30" t="s">
        <v>387</v>
      </c>
      <c r="B13" s="84" t="s">
        <v>397</v>
      </c>
      <c r="C13" s="79">
        <v>5500</v>
      </c>
      <c r="D13" s="83">
        <v>7000</v>
      </c>
      <c r="E13" s="70"/>
      <c r="F13" s="85">
        <f>7000</f>
        <v>7000</v>
      </c>
      <c r="G13" s="49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81"/>
      <c r="V13" s="87"/>
      <c r="W13" s="70"/>
      <c r="X13" s="70"/>
      <c r="Y13" s="70"/>
      <c r="Z13" s="70"/>
      <c r="AA13" s="70"/>
      <c r="AB13" s="70"/>
      <c r="AC13" s="70"/>
      <c r="AD13" s="70">
        <f t="shared" si="3"/>
        <v>7000</v>
      </c>
      <c r="AE13" s="70"/>
      <c r="AF13" s="70"/>
      <c r="AG13" s="70"/>
      <c r="AH13" s="70"/>
      <c r="AI13" s="82"/>
      <c r="AJ13" s="70">
        <v>4750</v>
      </c>
      <c r="AK13" s="70"/>
      <c r="AL13" s="34">
        <f t="shared" si="2"/>
        <v>0</v>
      </c>
    </row>
    <row r="14" spans="1:38" ht="14.5" x14ac:dyDescent="0.4">
      <c r="A14" s="30" t="s">
        <v>387</v>
      </c>
      <c r="B14" s="84" t="s">
        <v>398</v>
      </c>
      <c r="C14" s="79">
        <v>3500</v>
      </c>
      <c r="D14" s="70">
        <v>0</v>
      </c>
      <c r="E14" s="70"/>
      <c r="F14" s="85">
        <v>0</v>
      </c>
      <c r="G14" s="49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81"/>
      <c r="V14" s="70"/>
      <c r="W14" s="70"/>
      <c r="X14" s="70"/>
      <c r="Y14" s="70"/>
      <c r="Z14" s="70"/>
      <c r="AA14" s="70"/>
      <c r="AB14" s="70"/>
      <c r="AC14" s="70"/>
      <c r="AD14" s="70">
        <f t="shared" si="3"/>
        <v>0</v>
      </c>
      <c r="AE14" s="70"/>
      <c r="AF14" s="70"/>
      <c r="AG14" s="70"/>
      <c r="AH14" s="70"/>
      <c r="AI14" s="82"/>
      <c r="AJ14" s="70"/>
      <c r="AK14" s="70"/>
      <c r="AL14" s="34">
        <f t="shared" si="2"/>
        <v>0</v>
      </c>
    </row>
    <row r="15" spans="1:38" ht="14.5" x14ac:dyDescent="0.4">
      <c r="A15" s="30" t="s">
        <v>387</v>
      </c>
      <c r="B15" s="84" t="s">
        <v>399</v>
      </c>
      <c r="C15" s="79">
        <f>108000+6600</f>
        <v>114600</v>
      </c>
      <c r="D15" s="70">
        <v>22000</v>
      </c>
      <c r="E15" s="70"/>
      <c r="F15" s="80">
        <f>D15</f>
        <v>22000</v>
      </c>
      <c r="G15" s="49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81"/>
      <c r="V15" s="70"/>
      <c r="W15" s="70"/>
      <c r="X15" s="70"/>
      <c r="Y15" s="70"/>
      <c r="Z15" s="70"/>
      <c r="AA15" s="70"/>
      <c r="AB15" s="70">
        <f>23888.62/1.2</f>
        <v>19907.183333333334</v>
      </c>
      <c r="AC15" s="70">
        <f>1061.77/1.2</f>
        <v>884.80833333333339</v>
      </c>
      <c r="AD15" s="70">
        <f t="shared" si="3"/>
        <v>1208.0083333333314</v>
      </c>
      <c r="AE15" s="70"/>
      <c r="AF15" s="70"/>
      <c r="AG15" s="70"/>
      <c r="AH15" s="70"/>
      <c r="AI15" s="82"/>
      <c r="AJ15" s="70">
        <f>6092/1.2</f>
        <v>5076.666666666667</v>
      </c>
      <c r="AK15" s="70"/>
      <c r="AL15" s="34">
        <f t="shared" si="2"/>
        <v>0</v>
      </c>
    </row>
    <row r="16" spans="1:38" s="63" customFormat="1" ht="14.5" x14ac:dyDescent="0.4">
      <c r="A16" s="30" t="s">
        <v>387</v>
      </c>
      <c r="B16" s="84" t="s">
        <v>400</v>
      </c>
      <c r="C16" s="88" t="s">
        <v>385</v>
      </c>
      <c r="D16" s="70">
        <v>3000</v>
      </c>
      <c r="E16" s="70"/>
      <c r="F16" s="86">
        <v>3000</v>
      </c>
      <c r="G16" s="49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81"/>
      <c r="V16" s="70"/>
      <c r="W16" s="70"/>
      <c r="X16" s="70"/>
      <c r="Y16" s="70"/>
      <c r="Z16" s="70"/>
      <c r="AA16" s="70"/>
      <c r="AB16" s="70">
        <f>(285.75+752.49+280.6)/1.2</f>
        <v>1099.0333333333335</v>
      </c>
      <c r="AC16" s="70"/>
      <c r="AD16" s="70">
        <f t="shared" si="3"/>
        <v>1900.9666666666665</v>
      </c>
      <c r="AE16" s="70"/>
      <c r="AF16" s="70"/>
      <c r="AG16" s="70"/>
      <c r="AH16" s="70"/>
      <c r="AI16" s="82"/>
      <c r="AJ16" s="70"/>
      <c r="AK16" s="70"/>
      <c r="AL16" s="34">
        <f t="shared" si="2"/>
        <v>0</v>
      </c>
    </row>
    <row r="17" spans="1:39" s="63" customFormat="1" ht="14.5" x14ac:dyDescent="0.4">
      <c r="A17" s="89">
        <v>7021</v>
      </c>
      <c r="B17" s="90" t="s">
        <v>401</v>
      </c>
      <c r="C17" s="91">
        <v>3487</v>
      </c>
      <c r="D17" s="92">
        <v>0</v>
      </c>
      <c r="E17" s="93"/>
      <c r="F17" s="67">
        <v>0</v>
      </c>
      <c r="G17" s="94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5"/>
      <c r="V17" s="93"/>
      <c r="W17" s="93"/>
      <c r="X17" s="93"/>
      <c r="Y17" s="93"/>
      <c r="Z17" s="93"/>
      <c r="AA17" s="93"/>
      <c r="AB17" s="93"/>
      <c r="AC17" s="93"/>
      <c r="AD17" s="70">
        <f t="shared" si="3"/>
        <v>0</v>
      </c>
      <c r="AE17" s="93"/>
      <c r="AF17" s="93"/>
      <c r="AG17" s="93"/>
      <c r="AH17" s="93"/>
      <c r="AI17" s="96"/>
      <c r="AJ17" s="93"/>
      <c r="AK17" s="93"/>
      <c r="AL17" s="72" t="s">
        <v>385</v>
      </c>
    </row>
    <row r="18" spans="1:39" s="63" customFormat="1" ht="14.5" x14ac:dyDescent="0.4">
      <c r="A18" s="89">
        <v>7180</v>
      </c>
      <c r="B18" s="97" t="s">
        <v>402</v>
      </c>
      <c r="C18" s="98">
        <v>1000</v>
      </c>
      <c r="D18" s="99">
        <v>0</v>
      </c>
      <c r="E18" s="100"/>
      <c r="F18" s="101">
        <v>0</v>
      </c>
      <c r="G18" s="94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95"/>
      <c r="V18" s="102"/>
      <c r="W18" s="102"/>
      <c r="X18" s="102"/>
      <c r="Y18" s="102"/>
      <c r="Z18" s="102"/>
      <c r="AA18" s="102"/>
      <c r="AB18" s="102"/>
      <c r="AC18" s="102"/>
      <c r="AD18" s="70">
        <f t="shared" si="3"/>
        <v>0</v>
      </c>
      <c r="AE18" s="102"/>
      <c r="AF18" s="102"/>
      <c r="AG18" s="102"/>
      <c r="AH18" s="102"/>
      <c r="AI18" s="103"/>
      <c r="AJ18" s="102"/>
      <c r="AK18" s="102"/>
      <c r="AL18" s="72" t="s">
        <v>385</v>
      </c>
    </row>
    <row r="19" spans="1:39" ht="14.5" x14ac:dyDescent="0.4">
      <c r="A19" s="89">
        <v>7200</v>
      </c>
      <c r="B19" s="97" t="s">
        <v>403</v>
      </c>
      <c r="C19" s="98"/>
      <c r="D19" s="99">
        <v>0</v>
      </c>
      <c r="E19" s="100"/>
      <c r="F19" s="104">
        <v>0</v>
      </c>
      <c r="G19" s="94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5"/>
      <c r="V19" s="106"/>
      <c r="W19" s="106"/>
      <c r="X19" s="106"/>
      <c r="Y19" s="106"/>
      <c r="Z19" s="106"/>
      <c r="AA19" s="106"/>
      <c r="AB19" s="106"/>
      <c r="AC19" s="106"/>
      <c r="AD19" s="70">
        <f t="shared" si="3"/>
        <v>0</v>
      </c>
      <c r="AE19" s="106"/>
      <c r="AF19" s="106"/>
      <c r="AG19" s="106"/>
      <c r="AH19" s="106"/>
      <c r="AI19" s="107"/>
      <c r="AJ19" s="106"/>
      <c r="AK19" s="106"/>
      <c r="AL19" s="72" t="s">
        <v>385</v>
      </c>
    </row>
    <row r="20" spans="1:39" ht="14.5" x14ac:dyDescent="0.4">
      <c r="B20" s="108"/>
      <c r="C20" s="109"/>
      <c r="D20" s="110">
        <v>45660</v>
      </c>
      <c r="E20" s="111"/>
      <c r="F20" s="112">
        <v>45961</v>
      </c>
      <c r="G20" s="113"/>
      <c r="H20" s="111"/>
      <c r="I20" s="111"/>
      <c r="J20" s="111"/>
      <c r="K20" s="111"/>
      <c r="L20" s="111"/>
      <c r="M20" s="114"/>
      <c r="N20" s="114"/>
      <c r="O20" s="114"/>
      <c r="P20" s="114"/>
      <c r="Q20" s="114"/>
      <c r="R20" s="114"/>
      <c r="S20" s="114"/>
      <c r="T20" s="114"/>
      <c r="U20" s="115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7"/>
      <c r="AJ20" s="116"/>
      <c r="AK20" s="116"/>
    </row>
    <row r="21" spans="1:39" ht="14.5" x14ac:dyDescent="0.4">
      <c r="B21" s="108" t="s">
        <v>404</v>
      </c>
      <c r="C21" s="118">
        <f>SUM(C22:C57)</f>
        <v>0</v>
      </c>
      <c r="D21" s="119">
        <f>SUM(D22:D57)</f>
        <v>0</v>
      </c>
      <c r="E21" s="120"/>
      <c r="F21" s="121">
        <f>SUM(F22:F59)</f>
        <v>947616.37000000011</v>
      </c>
      <c r="G21" s="57"/>
      <c r="H21" s="58"/>
      <c r="I21" s="58"/>
      <c r="J21" s="58"/>
      <c r="K21" s="58"/>
      <c r="L21" s="58"/>
      <c r="M21" s="59"/>
      <c r="N21" s="59"/>
      <c r="O21" s="59"/>
      <c r="P21" s="59"/>
      <c r="Q21" s="59"/>
      <c r="R21" s="59"/>
      <c r="S21" s="59"/>
      <c r="T21" s="59"/>
      <c r="U21" s="122"/>
      <c r="V21" s="61"/>
      <c r="W21" s="61"/>
      <c r="X21" s="61"/>
      <c r="Y21" s="61"/>
      <c r="Z21" s="61">
        <v>16000</v>
      </c>
      <c r="AA21" s="61">
        <v>300000</v>
      </c>
      <c r="AB21" s="61">
        <v>201923</v>
      </c>
      <c r="AC21" s="61">
        <f>91000*1.2</f>
        <v>109200</v>
      </c>
      <c r="AD21" s="61">
        <f>107000/1.2</f>
        <v>89166.666666666672</v>
      </c>
      <c r="AE21" s="61">
        <f>81000/1.2</f>
        <v>67500</v>
      </c>
      <c r="AF21" s="61">
        <f>153000/1.2</f>
        <v>127500</v>
      </c>
      <c r="AG21" s="61">
        <f>15000/1.2</f>
        <v>12500</v>
      </c>
      <c r="AH21" s="61"/>
      <c r="AI21" s="117"/>
      <c r="AJ21" s="61">
        <v>23826</v>
      </c>
      <c r="AK21" s="61">
        <v>84570.35</v>
      </c>
      <c r="AL21" s="34">
        <f>F21-SUM(V21:AJ21)</f>
        <v>0.70333333348389715</v>
      </c>
    </row>
    <row r="22" spans="1:39" ht="14.5" x14ac:dyDescent="0.4">
      <c r="A22" s="30" t="s">
        <v>405</v>
      </c>
      <c r="B22" s="111" t="s">
        <v>406</v>
      </c>
      <c r="C22" s="123"/>
      <c r="D22" s="124"/>
      <c r="E22" s="116"/>
      <c r="F22" s="125">
        <v>110091.84</v>
      </c>
      <c r="G22" s="113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5"/>
      <c r="V22" s="70"/>
      <c r="W22" s="70"/>
      <c r="X22" s="70"/>
      <c r="Y22" s="70"/>
      <c r="Z22" s="70"/>
      <c r="AA22" s="70"/>
      <c r="AB22" s="70"/>
      <c r="AC22" s="116"/>
      <c r="AD22" s="70"/>
      <c r="AE22" s="116"/>
      <c r="AF22" s="116"/>
      <c r="AG22" s="116"/>
      <c r="AH22" s="116"/>
      <c r="AI22" s="117"/>
      <c r="AJ22" s="116"/>
      <c r="AK22" s="116"/>
    </row>
    <row r="23" spans="1:39" ht="14.5" x14ac:dyDescent="0.4">
      <c r="A23" s="30" t="s">
        <v>405</v>
      </c>
      <c r="B23" s="84" t="s">
        <v>407</v>
      </c>
      <c r="C23" s="88"/>
      <c r="D23" s="126"/>
      <c r="E23" s="70"/>
      <c r="F23" s="125">
        <v>3690</v>
      </c>
      <c r="G23" s="127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81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82"/>
      <c r="AJ23" s="70"/>
      <c r="AK23" s="70"/>
      <c r="AM23" s="30" t="s">
        <v>408</v>
      </c>
    </row>
    <row r="24" spans="1:39" ht="14.5" x14ac:dyDescent="0.4">
      <c r="A24" s="30" t="s">
        <v>405</v>
      </c>
      <c r="B24" s="84" t="s">
        <v>409</v>
      </c>
      <c r="C24" s="88"/>
      <c r="D24" s="126"/>
      <c r="E24" s="70"/>
      <c r="F24" s="125"/>
      <c r="G24" s="127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81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82"/>
      <c r="AJ24" s="70"/>
      <c r="AK24" s="70"/>
    </row>
    <row r="25" spans="1:39" ht="14.5" x14ac:dyDescent="0.4">
      <c r="A25" s="30" t="s">
        <v>405</v>
      </c>
      <c r="B25" s="84" t="s">
        <v>410</v>
      </c>
      <c r="C25" s="88"/>
      <c r="D25" s="126"/>
      <c r="E25" s="70"/>
      <c r="F25" s="125">
        <v>43786.23</v>
      </c>
      <c r="G25" s="127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81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82"/>
      <c r="AJ25" s="70"/>
      <c r="AK25" s="70"/>
    </row>
    <row r="26" spans="1:39" ht="14.5" x14ac:dyDescent="0.4">
      <c r="A26" s="30" t="s">
        <v>405</v>
      </c>
      <c r="B26" s="84" t="s">
        <v>411</v>
      </c>
      <c r="C26" s="88"/>
      <c r="D26" s="124"/>
      <c r="E26" s="70"/>
      <c r="F26" s="125">
        <v>13300.64</v>
      </c>
      <c r="G26" s="127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81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82"/>
      <c r="AJ26" s="70"/>
      <c r="AK26" s="70"/>
    </row>
    <row r="27" spans="1:39" ht="14.5" x14ac:dyDescent="0.4">
      <c r="A27" s="30" t="s">
        <v>405</v>
      </c>
      <c r="B27" s="84" t="s">
        <v>412</v>
      </c>
      <c r="C27" s="88"/>
      <c r="D27" s="126"/>
      <c r="E27" s="70"/>
      <c r="F27" s="125">
        <v>5071</v>
      </c>
      <c r="G27" s="127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81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82"/>
      <c r="AJ27" s="70"/>
      <c r="AK27" s="70"/>
    </row>
    <row r="28" spans="1:39" ht="14.5" x14ac:dyDescent="0.4">
      <c r="A28" s="30" t="s">
        <v>405</v>
      </c>
      <c r="B28" s="84" t="s">
        <v>413</v>
      </c>
      <c r="C28" s="88"/>
      <c r="D28" s="126"/>
      <c r="E28" s="70"/>
      <c r="F28" s="125"/>
      <c r="G28" s="127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81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82"/>
      <c r="AJ28" s="70"/>
      <c r="AK28" s="70"/>
    </row>
    <row r="29" spans="1:39" ht="14.5" x14ac:dyDescent="0.4">
      <c r="A29" s="30" t="s">
        <v>405</v>
      </c>
      <c r="B29" s="84" t="s">
        <v>414</v>
      </c>
      <c r="C29" s="88"/>
      <c r="D29" s="126"/>
      <c r="E29" s="70"/>
      <c r="F29" s="125">
        <v>45554.5</v>
      </c>
      <c r="G29" s="127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81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82"/>
      <c r="AJ29" s="70"/>
      <c r="AK29" s="70"/>
    </row>
    <row r="30" spans="1:39" ht="14.5" x14ac:dyDescent="0.4">
      <c r="A30" s="30" t="s">
        <v>405</v>
      </c>
      <c r="B30" s="84" t="s">
        <v>415</v>
      </c>
      <c r="C30" s="88"/>
      <c r="D30" s="126"/>
      <c r="E30" s="70"/>
      <c r="F30" s="125">
        <v>8155.08</v>
      </c>
      <c r="G30" s="127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81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82"/>
      <c r="AJ30" s="70"/>
      <c r="AK30" s="70"/>
    </row>
    <row r="31" spans="1:39" ht="14.5" x14ac:dyDescent="0.4">
      <c r="A31" s="30" t="s">
        <v>405</v>
      </c>
      <c r="B31" s="84" t="s">
        <v>416</v>
      </c>
      <c r="C31" s="88"/>
      <c r="D31" s="126"/>
      <c r="E31" s="70"/>
      <c r="F31" s="125"/>
      <c r="G31" s="127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81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82"/>
      <c r="AJ31" s="70"/>
      <c r="AK31" s="70"/>
    </row>
    <row r="32" spans="1:39" ht="14.5" x14ac:dyDescent="0.4">
      <c r="A32" s="30" t="s">
        <v>405</v>
      </c>
      <c r="B32" s="128" t="s">
        <v>417</v>
      </c>
      <c r="C32" s="88"/>
      <c r="D32" s="124"/>
      <c r="E32" s="129"/>
      <c r="F32" s="125"/>
      <c r="G32" s="127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81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82"/>
      <c r="AJ32" s="70"/>
      <c r="AK32" s="70"/>
    </row>
    <row r="33" spans="1:37" ht="14.5" x14ac:dyDescent="0.4">
      <c r="A33" s="30" t="s">
        <v>405</v>
      </c>
      <c r="B33" s="84" t="s">
        <v>418</v>
      </c>
      <c r="C33" s="88"/>
      <c r="D33" s="126"/>
      <c r="E33" s="70"/>
      <c r="F33" s="125">
        <v>45812.86</v>
      </c>
      <c r="G33" s="127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81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82"/>
      <c r="AJ33" s="70"/>
      <c r="AK33" s="70"/>
    </row>
    <row r="34" spans="1:37" ht="14.5" x14ac:dyDescent="0.4">
      <c r="A34" s="30" t="s">
        <v>405</v>
      </c>
      <c r="B34" s="84" t="s">
        <v>419</v>
      </c>
      <c r="C34" s="88"/>
      <c r="D34" s="126"/>
      <c r="E34" s="70"/>
      <c r="F34" s="125">
        <v>35453</v>
      </c>
      <c r="G34" s="127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81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82"/>
      <c r="AJ34" s="70"/>
      <c r="AK34" s="70"/>
    </row>
    <row r="35" spans="1:37" ht="14.5" x14ac:dyDescent="0.4">
      <c r="A35" s="30" t="s">
        <v>405</v>
      </c>
      <c r="B35" s="84" t="s">
        <v>420</v>
      </c>
      <c r="C35" s="88"/>
      <c r="D35" s="126"/>
      <c r="E35" s="70"/>
      <c r="F35" s="125">
        <v>10550</v>
      </c>
      <c r="G35" s="127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81"/>
      <c r="V35" s="70"/>
      <c r="W35" s="70"/>
      <c r="X35" s="70"/>
      <c r="Y35" s="70"/>
      <c r="Z35" s="70"/>
      <c r="AA35" s="70"/>
      <c r="AB35" s="70"/>
      <c r="AC35" s="70"/>
      <c r="AE35" s="70"/>
      <c r="AF35" s="70"/>
      <c r="AG35" s="70"/>
      <c r="AH35" s="70"/>
      <c r="AI35" s="82"/>
      <c r="AJ35" s="70"/>
      <c r="AK35" s="70"/>
    </row>
    <row r="36" spans="1:37" ht="14.5" x14ac:dyDescent="0.4">
      <c r="A36" s="30" t="s">
        <v>405</v>
      </c>
      <c r="B36" s="84" t="s">
        <v>421</v>
      </c>
      <c r="C36" s="88"/>
      <c r="D36" s="124"/>
      <c r="E36" s="70"/>
      <c r="F36" s="125">
        <v>6490</v>
      </c>
      <c r="G36" s="127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81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82"/>
      <c r="AJ36" s="70"/>
      <c r="AK36" s="70"/>
    </row>
    <row r="37" spans="1:37" ht="14.5" x14ac:dyDescent="0.4">
      <c r="A37" s="30" t="s">
        <v>405</v>
      </c>
      <c r="B37" s="84" t="s">
        <v>422</v>
      </c>
      <c r="C37" s="88"/>
      <c r="D37" s="126"/>
      <c r="E37" s="70"/>
      <c r="F37" s="125">
        <v>8403.4699999999993</v>
      </c>
      <c r="G37" s="127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81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82"/>
      <c r="AJ37" s="70"/>
      <c r="AK37" s="70"/>
    </row>
    <row r="38" spans="1:37" ht="14.5" x14ac:dyDescent="0.4">
      <c r="A38" s="30" t="s">
        <v>405</v>
      </c>
      <c r="B38" s="84" t="s">
        <v>423</v>
      </c>
      <c r="C38" s="88"/>
      <c r="D38" s="126"/>
      <c r="E38" s="70"/>
      <c r="F38" s="125"/>
      <c r="G38" s="127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81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82"/>
      <c r="AJ38" s="70"/>
      <c r="AK38" s="70"/>
    </row>
    <row r="39" spans="1:37" ht="14.5" x14ac:dyDescent="0.4">
      <c r="A39" s="30" t="s">
        <v>405</v>
      </c>
      <c r="B39" s="84" t="s">
        <v>424</v>
      </c>
      <c r="C39" s="88"/>
      <c r="D39" s="126"/>
      <c r="E39" s="70"/>
      <c r="F39" s="125"/>
      <c r="G39" s="127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81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82"/>
      <c r="AJ39" s="70"/>
      <c r="AK39" s="70"/>
    </row>
    <row r="40" spans="1:37" ht="14.5" x14ac:dyDescent="0.4">
      <c r="B40" s="84" t="s">
        <v>425</v>
      </c>
      <c r="C40" s="88"/>
      <c r="D40" s="126"/>
      <c r="E40" s="70"/>
      <c r="F40" s="125">
        <v>1837.84</v>
      </c>
      <c r="G40" s="127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81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82"/>
      <c r="AJ40" s="70"/>
      <c r="AK40" s="70"/>
    </row>
    <row r="41" spans="1:37" ht="14.5" x14ac:dyDescent="0.4">
      <c r="A41" s="30" t="s">
        <v>405</v>
      </c>
      <c r="B41" s="84" t="s">
        <v>426</v>
      </c>
      <c r="C41" s="88"/>
      <c r="D41" s="126"/>
      <c r="E41" s="70"/>
      <c r="F41" s="125">
        <v>2684.2</v>
      </c>
      <c r="G41" s="127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81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82"/>
      <c r="AJ41" s="70"/>
      <c r="AK41" s="70"/>
    </row>
    <row r="42" spans="1:37" ht="14.5" x14ac:dyDescent="0.4">
      <c r="B42" s="84" t="s">
        <v>427</v>
      </c>
      <c r="C42" s="88"/>
      <c r="D42" s="126"/>
      <c r="E42" s="70"/>
      <c r="F42" s="125">
        <v>864</v>
      </c>
      <c r="G42" s="127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81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82"/>
      <c r="AJ42" s="70"/>
      <c r="AK42" s="70"/>
    </row>
    <row r="43" spans="1:37" ht="14.5" x14ac:dyDescent="0.4">
      <c r="A43" s="30" t="s">
        <v>405</v>
      </c>
      <c r="B43" s="84" t="s">
        <v>428</v>
      </c>
      <c r="C43" s="88"/>
      <c r="D43" s="124"/>
      <c r="E43" s="70"/>
      <c r="F43" s="125">
        <v>1750</v>
      </c>
      <c r="G43" s="127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81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82"/>
      <c r="AJ43" s="70"/>
      <c r="AK43" s="70"/>
    </row>
    <row r="44" spans="1:37" ht="14.5" x14ac:dyDescent="0.4">
      <c r="A44" s="30" t="s">
        <v>405</v>
      </c>
      <c r="B44" s="84" t="s">
        <v>429</v>
      </c>
      <c r="C44" s="88"/>
      <c r="D44" s="126"/>
      <c r="E44" s="70"/>
      <c r="F44" s="130">
        <v>102961.76</v>
      </c>
      <c r="G44" s="127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81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82"/>
      <c r="AJ44" s="70"/>
      <c r="AK44" s="70"/>
    </row>
    <row r="45" spans="1:37" ht="14.5" x14ac:dyDescent="0.4">
      <c r="A45" s="30" t="s">
        <v>405</v>
      </c>
      <c r="B45" s="84" t="s">
        <v>430</v>
      </c>
      <c r="C45" s="88"/>
      <c r="D45" s="126"/>
      <c r="E45" s="70"/>
      <c r="F45" s="125">
        <v>23573.31</v>
      </c>
      <c r="G45" s="127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81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82"/>
      <c r="AJ45" s="70"/>
      <c r="AK45" s="70"/>
    </row>
    <row r="46" spans="1:37" ht="14.5" x14ac:dyDescent="0.4">
      <c r="A46" s="30" t="s">
        <v>405</v>
      </c>
      <c r="B46" s="84" t="s">
        <v>431</v>
      </c>
      <c r="C46" s="88"/>
      <c r="D46" s="124"/>
      <c r="E46" s="70"/>
      <c r="F46" s="125">
        <v>288067.15000000002</v>
      </c>
      <c r="G46" s="127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81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82"/>
      <c r="AJ46" s="70">
        <f>AG46</f>
        <v>0</v>
      </c>
      <c r="AK46" s="70">
        <f>AJ46</f>
        <v>0</v>
      </c>
    </row>
    <row r="47" spans="1:37" ht="14.5" x14ac:dyDescent="0.4">
      <c r="A47" s="30" t="s">
        <v>405</v>
      </c>
      <c r="B47" s="84" t="s">
        <v>432</v>
      </c>
      <c r="C47" s="88"/>
      <c r="D47" s="126"/>
      <c r="E47" s="70"/>
      <c r="F47" s="125">
        <v>929</v>
      </c>
      <c r="G47" s="127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81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82"/>
      <c r="AJ47" s="70"/>
      <c r="AK47" s="70"/>
    </row>
    <row r="48" spans="1:37" ht="14.5" x14ac:dyDescent="0.4">
      <c r="A48" s="30" t="s">
        <v>405</v>
      </c>
      <c r="B48" s="84" t="s">
        <v>433</v>
      </c>
      <c r="C48" s="88"/>
      <c r="D48" s="126"/>
      <c r="E48" s="70"/>
      <c r="F48" s="125">
        <v>2078</v>
      </c>
      <c r="G48" s="127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81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82"/>
      <c r="AJ48" s="70"/>
      <c r="AK48" s="70"/>
    </row>
    <row r="49" spans="1:38" ht="14.5" x14ac:dyDescent="0.4">
      <c r="A49" s="30" t="s">
        <v>405</v>
      </c>
      <c r="B49" s="84" t="s">
        <v>434</v>
      </c>
      <c r="C49" s="88"/>
      <c r="D49" s="124"/>
      <c r="E49" s="70"/>
      <c r="F49" s="125">
        <v>85172.59</v>
      </c>
      <c r="G49" s="127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81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82"/>
      <c r="AJ49" s="70"/>
      <c r="AK49" s="70"/>
    </row>
    <row r="50" spans="1:38" ht="14.5" x14ac:dyDescent="0.4">
      <c r="A50" s="30" t="s">
        <v>405</v>
      </c>
      <c r="B50" s="84" t="s">
        <v>435</v>
      </c>
      <c r="C50" s="88"/>
      <c r="D50" s="131"/>
      <c r="E50" s="70"/>
      <c r="F50" s="125">
        <v>5208</v>
      </c>
      <c r="G50" s="127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132">
        <v>13978.2</v>
      </c>
      <c r="S50" s="70"/>
      <c r="T50" s="70"/>
      <c r="U50" s="81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82"/>
      <c r="AJ50" s="70"/>
      <c r="AK50" s="70"/>
    </row>
    <row r="51" spans="1:38" ht="14.5" x14ac:dyDescent="0.4">
      <c r="A51" s="30" t="s">
        <v>405</v>
      </c>
      <c r="B51" s="84" t="s">
        <v>436</v>
      </c>
      <c r="C51" s="88"/>
      <c r="D51" s="131"/>
      <c r="E51" s="70"/>
      <c r="F51" s="125">
        <v>21750</v>
      </c>
      <c r="G51" s="127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81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82"/>
      <c r="AJ51" s="70"/>
      <c r="AK51" s="70"/>
    </row>
    <row r="52" spans="1:38" ht="14.5" x14ac:dyDescent="0.4">
      <c r="A52" s="30" t="s">
        <v>405</v>
      </c>
      <c r="B52" s="84" t="s">
        <v>437</v>
      </c>
      <c r="C52" s="88"/>
      <c r="D52" s="131"/>
      <c r="E52" s="70"/>
      <c r="F52" s="125"/>
      <c r="G52" s="127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132">
        <v>5125</v>
      </c>
      <c r="S52" s="70"/>
      <c r="T52" s="70"/>
      <c r="U52" s="81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82"/>
      <c r="AJ52" s="70"/>
      <c r="AK52" s="70"/>
    </row>
    <row r="53" spans="1:38" ht="14.5" x14ac:dyDescent="0.4">
      <c r="A53" s="30" t="s">
        <v>405</v>
      </c>
      <c r="B53" s="84" t="s">
        <v>438</v>
      </c>
      <c r="C53" s="88"/>
      <c r="D53" s="131"/>
      <c r="E53" s="70"/>
      <c r="F53" s="131">
        <v>2070</v>
      </c>
      <c r="G53" s="127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81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82"/>
      <c r="AJ53" s="70"/>
      <c r="AK53" s="70"/>
    </row>
    <row r="54" spans="1:38" ht="14.5" x14ac:dyDescent="0.4">
      <c r="A54" s="30" t="s">
        <v>405</v>
      </c>
      <c r="B54" s="84" t="s">
        <v>439</v>
      </c>
      <c r="C54" s="88"/>
      <c r="D54" s="131"/>
      <c r="E54" s="70"/>
      <c r="F54" s="131"/>
      <c r="G54" s="127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81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82"/>
      <c r="AJ54" s="70"/>
      <c r="AK54" s="70"/>
    </row>
    <row r="55" spans="1:38" ht="14.5" x14ac:dyDescent="0.4">
      <c r="A55" s="30" t="s">
        <v>405</v>
      </c>
      <c r="B55" s="84" t="s">
        <v>440</v>
      </c>
      <c r="C55" s="88"/>
      <c r="D55" s="131"/>
      <c r="E55" s="70"/>
      <c r="F55" s="125">
        <v>3750</v>
      </c>
      <c r="G55" s="127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81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82"/>
      <c r="AJ55" s="70"/>
      <c r="AK55" s="70"/>
    </row>
    <row r="56" spans="1:38" ht="14.5" x14ac:dyDescent="0.4">
      <c r="A56" s="30" t="s">
        <v>405</v>
      </c>
      <c r="B56" s="84" t="s">
        <v>441</v>
      </c>
      <c r="C56" s="88"/>
      <c r="D56" s="131"/>
      <c r="E56" s="70"/>
      <c r="F56" s="125">
        <v>605</v>
      </c>
      <c r="G56" s="127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81"/>
      <c r="V56" s="70"/>
      <c r="W56" s="70"/>
      <c r="X56" s="70"/>
      <c r="Y56" s="70"/>
      <c r="Z56" s="70"/>
      <c r="AA56" s="70"/>
      <c r="AB56" s="70"/>
      <c r="AC56" s="70"/>
      <c r="AD56" s="70"/>
      <c r="AE56" s="133"/>
      <c r="AF56" s="70"/>
      <c r="AG56" s="70"/>
      <c r="AH56" s="70"/>
      <c r="AI56" s="82"/>
      <c r="AJ56" s="70"/>
      <c r="AK56" s="70"/>
    </row>
    <row r="57" spans="1:38" s="35" customFormat="1" ht="14.5" x14ac:dyDescent="0.4">
      <c r="A57" s="30" t="s">
        <v>405</v>
      </c>
      <c r="B57" s="84" t="s">
        <v>442</v>
      </c>
      <c r="C57" s="88"/>
      <c r="D57" s="134"/>
      <c r="E57" s="70"/>
      <c r="F57" s="125">
        <v>15222.89</v>
      </c>
      <c r="G57" s="127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81"/>
      <c r="V57" s="70"/>
      <c r="W57" s="70"/>
      <c r="X57" s="70"/>
      <c r="Y57" s="70"/>
      <c r="Z57" s="70"/>
      <c r="AA57" s="70"/>
      <c r="AB57" s="70"/>
      <c r="AC57" s="33"/>
      <c r="AD57" s="70"/>
      <c r="AE57" s="70"/>
      <c r="AF57" s="70"/>
      <c r="AG57" s="70"/>
      <c r="AH57" s="70"/>
      <c r="AI57" s="82"/>
      <c r="AJ57" s="70"/>
      <c r="AK57" s="70"/>
      <c r="AL57" s="34"/>
    </row>
    <row r="58" spans="1:38" s="35" customFormat="1" ht="14.5" x14ac:dyDescent="0.4">
      <c r="A58" s="30"/>
      <c r="B58" s="84" t="s">
        <v>443</v>
      </c>
      <c r="C58" s="135"/>
      <c r="D58" s="136"/>
      <c r="E58" s="33"/>
      <c r="F58" s="125">
        <v>10000</v>
      </c>
      <c r="G58" s="49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137"/>
      <c r="V58" s="70"/>
      <c r="W58" s="70"/>
      <c r="X58" s="70"/>
      <c r="Y58" s="70"/>
      <c r="Z58" s="70"/>
      <c r="AA58" s="70"/>
      <c r="AB58" s="70"/>
      <c r="AC58" s="33"/>
      <c r="AD58" s="70"/>
      <c r="AE58" s="33"/>
      <c r="AF58" s="33"/>
      <c r="AG58" s="33"/>
      <c r="AH58" s="33"/>
      <c r="AI58" s="77"/>
      <c r="AJ58" s="33"/>
      <c r="AK58" s="33"/>
      <c r="AL58" s="34"/>
    </row>
    <row r="59" spans="1:38" s="35" customFormat="1" ht="14.5" x14ac:dyDescent="0.4">
      <c r="A59" s="30"/>
      <c r="B59" s="84" t="s">
        <v>444</v>
      </c>
      <c r="C59" s="135"/>
      <c r="D59" s="136"/>
      <c r="E59" s="33"/>
      <c r="F59" s="125">
        <v>42734.01</v>
      </c>
      <c r="G59" s="49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137"/>
      <c r="V59" s="70"/>
      <c r="W59" s="70"/>
      <c r="X59" s="70"/>
      <c r="Y59" s="70"/>
      <c r="Z59" s="70"/>
      <c r="AA59" s="70"/>
      <c r="AB59" s="70"/>
      <c r="AC59" s="138"/>
      <c r="AD59" s="70"/>
      <c r="AE59" s="33"/>
      <c r="AF59" s="33"/>
      <c r="AG59" s="33"/>
      <c r="AH59" s="33"/>
      <c r="AI59" s="77"/>
      <c r="AJ59" s="33"/>
      <c r="AK59" s="33"/>
      <c r="AL59" s="34"/>
    </row>
    <row r="60" spans="1:38" s="35" customFormat="1" ht="14.5" x14ac:dyDescent="0.4">
      <c r="A60" s="30"/>
      <c r="B60" s="139" t="s">
        <v>445</v>
      </c>
      <c r="C60" s="140">
        <f>C3+C21</f>
        <v>194557</v>
      </c>
      <c r="D60" s="141">
        <f>D3+D21</f>
        <v>62060</v>
      </c>
      <c r="E60" s="141"/>
      <c r="F60" s="55">
        <f>F3+F21</f>
        <v>1049676.3700000001</v>
      </c>
      <c r="G60" s="142"/>
      <c r="H60" s="143">
        <f t="shared" ref="H60:S60" si="4">SUM(H3:H57)</f>
        <v>0</v>
      </c>
      <c r="I60" s="143">
        <f t="shared" si="4"/>
        <v>0</v>
      </c>
      <c r="J60" s="143">
        <f t="shared" si="4"/>
        <v>0</v>
      </c>
      <c r="K60" s="143">
        <f t="shared" si="4"/>
        <v>0</v>
      </c>
      <c r="L60" s="143">
        <f t="shared" si="4"/>
        <v>0</v>
      </c>
      <c r="M60" s="143">
        <f t="shared" si="4"/>
        <v>0</v>
      </c>
      <c r="N60" s="143">
        <f t="shared" si="4"/>
        <v>0</v>
      </c>
      <c r="O60" s="143">
        <f t="shared" si="4"/>
        <v>0</v>
      </c>
      <c r="P60" s="143">
        <f t="shared" si="4"/>
        <v>0</v>
      </c>
      <c r="Q60" s="143">
        <f t="shared" si="4"/>
        <v>0</v>
      </c>
      <c r="R60" s="143">
        <f t="shared" si="4"/>
        <v>20913.2</v>
      </c>
      <c r="S60" s="143">
        <f t="shared" si="4"/>
        <v>0</v>
      </c>
      <c r="T60" s="143"/>
      <c r="U60" s="144"/>
      <c r="V60" s="145">
        <f t="shared" ref="V60:AK60" si="5">V3+V21</f>
        <v>0</v>
      </c>
      <c r="W60" s="145">
        <f t="shared" si="5"/>
        <v>0</v>
      </c>
      <c r="X60" s="145">
        <f t="shared" si="5"/>
        <v>0</v>
      </c>
      <c r="Y60" s="145">
        <f t="shared" si="5"/>
        <v>6177</v>
      </c>
      <c r="Z60" s="145">
        <f t="shared" si="5"/>
        <v>16000</v>
      </c>
      <c r="AA60" s="145">
        <f t="shared" si="5"/>
        <v>301986.09999999998</v>
      </c>
      <c r="AB60" s="145">
        <f t="shared" si="5"/>
        <v>225979.21666666667</v>
      </c>
      <c r="AC60" s="145">
        <f t="shared" si="5"/>
        <v>117584.80833333333</v>
      </c>
      <c r="AD60" s="145">
        <f t="shared" si="5"/>
        <v>115072.54166666667</v>
      </c>
      <c r="AE60" s="145">
        <f t="shared" si="5"/>
        <v>67500</v>
      </c>
      <c r="AF60" s="145">
        <f t="shared" si="5"/>
        <v>161240</v>
      </c>
      <c r="AG60" s="145">
        <f t="shared" si="5"/>
        <v>12500</v>
      </c>
      <c r="AH60" s="145">
        <f t="shared" si="5"/>
        <v>0</v>
      </c>
      <c r="AI60" s="145">
        <f t="shared" si="5"/>
        <v>0</v>
      </c>
      <c r="AJ60" s="145">
        <f t="shared" si="5"/>
        <v>33652.666666666672</v>
      </c>
      <c r="AK60" s="145">
        <f t="shared" si="5"/>
        <v>84570.35</v>
      </c>
      <c r="AL60" s="146">
        <f>SUM(H60:AK60)</f>
        <v>1163175.8833333333</v>
      </c>
    </row>
    <row r="61" spans="1:38" s="35" customFormat="1" ht="14.5" x14ac:dyDescent="0.4">
      <c r="A61" s="30"/>
      <c r="B61" s="139"/>
      <c r="C61" s="141"/>
      <c r="D61" s="141"/>
      <c r="E61" s="141"/>
      <c r="G61" s="147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9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50"/>
      <c r="AJ61" s="148"/>
      <c r="AK61" s="148"/>
      <c r="AL61" s="146"/>
    </row>
    <row r="62" spans="1:38" ht="14.5" x14ac:dyDescent="0.4">
      <c r="B62" s="151" t="s">
        <v>446</v>
      </c>
      <c r="C62" s="152"/>
      <c r="D62" s="53"/>
      <c r="E62" s="53"/>
      <c r="F62" s="153"/>
      <c r="G62" s="154"/>
      <c r="H62" s="155">
        <f t="shared" ref="H62:S62" si="6">H60*$G62</f>
        <v>0</v>
      </c>
      <c r="I62" s="155">
        <f t="shared" si="6"/>
        <v>0</v>
      </c>
      <c r="J62" s="155">
        <f t="shared" si="6"/>
        <v>0</v>
      </c>
      <c r="K62" s="155">
        <f t="shared" si="6"/>
        <v>0</v>
      </c>
      <c r="L62" s="155">
        <f t="shared" si="6"/>
        <v>0</v>
      </c>
      <c r="M62" s="155">
        <f t="shared" si="6"/>
        <v>0</v>
      </c>
      <c r="N62" s="155">
        <f t="shared" si="6"/>
        <v>0</v>
      </c>
      <c r="O62" s="155">
        <f t="shared" si="6"/>
        <v>0</v>
      </c>
      <c r="P62" s="155">
        <f t="shared" si="6"/>
        <v>0</v>
      </c>
      <c r="Q62" s="155">
        <f t="shared" si="6"/>
        <v>0</v>
      </c>
      <c r="R62" s="155">
        <f t="shared" si="6"/>
        <v>0</v>
      </c>
      <c r="S62" s="155">
        <f t="shared" si="6"/>
        <v>0</v>
      </c>
      <c r="T62" s="155"/>
      <c r="U62" s="156"/>
      <c r="V62" s="157">
        <f t="shared" ref="V62:AG62" si="7">V60*$G62</f>
        <v>0</v>
      </c>
      <c r="W62" s="157">
        <f t="shared" si="7"/>
        <v>0</v>
      </c>
      <c r="X62" s="157">
        <f t="shared" si="7"/>
        <v>0</v>
      </c>
      <c r="Y62" s="157">
        <f t="shared" si="7"/>
        <v>0</v>
      </c>
      <c r="Z62" s="157">
        <f t="shared" si="7"/>
        <v>0</v>
      </c>
      <c r="AA62" s="157">
        <f t="shared" si="7"/>
        <v>0</v>
      </c>
      <c r="AB62" s="157">
        <f t="shared" si="7"/>
        <v>0</v>
      </c>
      <c r="AC62" s="157">
        <f t="shared" si="7"/>
        <v>0</v>
      </c>
      <c r="AD62" s="157">
        <f t="shared" si="7"/>
        <v>0</v>
      </c>
      <c r="AE62" s="157">
        <f t="shared" si="7"/>
        <v>0</v>
      </c>
      <c r="AF62" s="157">
        <f t="shared" si="7"/>
        <v>0</v>
      </c>
      <c r="AG62" s="157">
        <f t="shared" si="7"/>
        <v>0</v>
      </c>
      <c r="AH62" s="157"/>
      <c r="AI62" s="158"/>
      <c r="AJ62" s="158">
        <f>AJ60*$G62</f>
        <v>0</v>
      </c>
      <c r="AK62" s="158">
        <f>AK60*$G62</f>
        <v>0</v>
      </c>
      <c r="AL62" s="146"/>
    </row>
    <row r="63" spans="1:38" ht="14.5" x14ac:dyDescent="0.4">
      <c r="B63" s="35"/>
      <c r="F63" s="159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</row>
    <row r="64" spans="1:38" ht="14.5" x14ac:dyDescent="0.4">
      <c r="B64" s="111" t="s">
        <v>447</v>
      </c>
      <c r="C64" s="160"/>
      <c r="D64" s="161"/>
      <c r="E64" s="162"/>
      <c r="F64" s="125">
        <v>44830.04</v>
      </c>
      <c r="N64" s="84"/>
      <c r="O64" s="84"/>
      <c r="P64" s="84"/>
      <c r="Q64" s="84"/>
      <c r="R64" s="163" t="s">
        <v>448</v>
      </c>
      <c r="S64" s="70">
        <f>SUM(H4:S19)</f>
        <v>1810</v>
      </c>
      <c r="T64" s="33"/>
      <c r="Z64" s="133"/>
      <c r="AA64" s="133"/>
      <c r="AB64" s="164"/>
      <c r="AC64" s="165"/>
      <c r="AD64" s="165"/>
      <c r="AE64" s="166"/>
      <c r="AF64" s="163" t="s">
        <v>449</v>
      </c>
      <c r="AG64" s="70">
        <f>SUM(V4:AG19)</f>
        <v>100250</v>
      </c>
      <c r="AH64" s="70"/>
      <c r="AI64" s="70"/>
      <c r="AJ64" s="70"/>
      <c r="AK64" s="70">
        <f>SUM(AJ4:AK19)</f>
        <v>9826.6666666666679</v>
      </c>
      <c r="AL64" s="34">
        <f>(S64+AG64+AK64)-F3</f>
        <v>9826.6666666666715</v>
      </c>
    </row>
    <row r="65" spans="2:38" ht="14.5" x14ac:dyDescent="0.4">
      <c r="B65" s="84" t="s">
        <v>450</v>
      </c>
      <c r="C65" s="167" t="s">
        <v>385</v>
      </c>
      <c r="D65" s="168">
        <v>27121.16</v>
      </c>
      <c r="E65" s="169"/>
      <c r="F65" s="125">
        <v>93686.09</v>
      </c>
      <c r="N65" s="84"/>
      <c r="O65" s="84"/>
      <c r="P65" s="84"/>
      <c r="Q65" s="84"/>
      <c r="R65" s="163" t="s">
        <v>451</v>
      </c>
      <c r="S65" s="70">
        <f>SUM(H22:S57)</f>
        <v>19103.2</v>
      </c>
      <c r="T65" s="33"/>
      <c r="Z65" s="133"/>
      <c r="AA65" s="133"/>
      <c r="AB65" s="164"/>
      <c r="AC65" s="165"/>
      <c r="AD65" s="165"/>
      <c r="AE65" s="166"/>
      <c r="AF65" s="163" t="s">
        <v>452</v>
      </c>
      <c r="AG65" s="70">
        <f>SUM(V22:AG57)</f>
        <v>0</v>
      </c>
      <c r="AH65" s="70"/>
      <c r="AI65" s="70"/>
      <c r="AJ65" s="70"/>
      <c r="AK65" s="70">
        <f>SUM(AJ22:AK57)</f>
        <v>0</v>
      </c>
      <c r="AL65" s="34">
        <f>(S65+AG65+AK65)-F21</f>
        <v>-928513.17000000016</v>
      </c>
    </row>
    <row r="66" spans="2:38" ht="14.5" x14ac:dyDescent="0.4">
      <c r="B66" s="170" t="s">
        <v>453</v>
      </c>
      <c r="C66" s="171" t="s">
        <v>385</v>
      </c>
      <c r="D66" s="172">
        <v>14423.98</v>
      </c>
      <c r="E66" s="173"/>
      <c r="F66" s="125">
        <v>6500</v>
      </c>
      <c r="N66" s="84"/>
      <c r="O66" s="84"/>
      <c r="P66" s="84"/>
      <c r="Q66" s="84"/>
      <c r="R66" s="163" t="s">
        <v>454</v>
      </c>
      <c r="S66" s="70">
        <f>SUM(S64:S65)</f>
        <v>20913.2</v>
      </c>
      <c r="T66" s="33"/>
      <c r="Z66" s="133"/>
      <c r="AA66" s="133"/>
      <c r="AB66" s="164"/>
      <c r="AC66" s="164"/>
      <c r="AD66" s="164"/>
      <c r="AE66" s="133"/>
      <c r="AF66" s="163" t="s">
        <v>455</v>
      </c>
      <c r="AG66" s="33">
        <f>SUM(AG64:AG65)</f>
        <v>100250</v>
      </c>
      <c r="AH66" s="33"/>
      <c r="AI66" s="33"/>
      <c r="AJ66" s="33"/>
      <c r="AK66" s="33">
        <f>SUM(AK64:AK65)</f>
        <v>9826.6666666666679</v>
      </c>
    </row>
    <row r="67" spans="2:38" ht="14.5" x14ac:dyDescent="0.4">
      <c r="B67" s="58"/>
      <c r="C67" s="174"/>
      <c r="D67" s="175">
        <f>SUM(D64:D66)</f>
        <v>41545.14</v>
      </c>
      <c r="E67" s="55"/>
      <c r="F67" s="175">
        <f>SUM(F64:F66)</f>
        <v>145016.13</v>
      </c>
      <c r="N67" s="58"/>
      <c r="O67" s="58"/>
      <c r="P67" s="58"/>
      <c r="Q67" s="58"/>
      <c r="R67" s="176" t="s">
        <v>456</v>
      </c>
      <c r="S67" s="61">
        <f>S66*G62</f>
        <v>0</v>
      </c>
      <c r="T67" s="33"/>
      <c r="Z67" s="133"/>
      <c r="AA67" s="133"/>
      <c r="AB67" s="164"/>
      <c r="AC67" s="59"/>
      <c r="AD67" s="59"/>
      <c r="AE67" s="176"/>
      <c r="AF67" s="176" t="s">
        <v>457</v>
      </c>
      <c r="AG67" s="61">
        <f>AG66*$G62</f>
        <v>0</v>
      </c>
      <c r="AH67" s="61"/>
      <c r="AI67" s="61"/>
      <c r="AJ67" s="61"/>
      <c r="AK67" s="61">
        <f>AK66*$G62</f>
        <v>0</v>
      </c>
    </row>
    <row r="68" spans="2:38" ht="30.75" customHeight="1" x14ac:dyDescent="0.4">
      <c r="B68" s="177"/>
      <c r="C68" s="177"/>
      <c r="D68" s="178">
        <f>SUM(D21+D67)</f>
        <v>41545.14</v>
      </c>
      <c r="E68" s="179"/>
      <c r="F68" s="178">
        <f>SUM(F21+F67)</f>
        <v>1092632.5</v>
      </c>
      <c r="S68" s="180">
        <f>SUM(H62:S62)-S67</f>
        <v>0</v>
      </c>
      <c r="AF68" s="33"/>
      <c r="AG68" s="180">
        <f>SUM(V62:AG62)-AG67</f>
        <v>0</v>
      </c>
      <c r="AH68" s="180"/>
      <c r="AI68" s="180"/>
      <c r="AJ68" s="180"/>
      <c r="AK68" s="180">
        <f>SUM(AJ62:AK62)-AK67</f>
        <v>0</v>
      </c>
    </row>
    <row r="70" spans="2:38" ht="14.25" customHeight="1" x14ac:dyDescent="0.4">
      <c r="AF70" s="163" t="s">
        <v>458</v>
      </c>
      <c r="AG70" s="181">
        <f>SUM(AG71:AG73)</f>
        <v>938574.01</v>
      </c>
    </row>
    <row r="71" spans="2:38" ht="17.25" customHeight="1" x14ac:dyDescent="0.4">
      <c r="G71" s="182"/>
      <c r="AF71" s="31" t="s">
        <v>459</v>
      </c>
      <c r="AG71" s="183">
        <v>885840</v>
      </c>
    </row>
    <row r="72" spans="2:38" ht="14.5" x14ac:dyDescent="0.4">
      <c r="B72" s="133"/>
      <c r="C72" s="133"/>
      <c r="D72" s="133"/>
      <c r="E72" s="133"/>
      <c r="F72" s="87"/>
      <c r="AF72" s="31" t="s">
        <v>460</v>
      </c>
      <c r="AG72" s="70">
        <f>F59</f>
        <v>42734.01</v>
      </c>
    </row>
    <row r="73" spans="2:38" ht="14.5" x14ac:dyDescent="0.4">
      <c r="B73" s="35" t="s">
        <v>461</v>
      </c>
      <c r="AF73" s="31" t="s">
        <v>462</v>
      </c>
      <c r="AG73" s="70">
        <v>10000</v>
      </c>
    </row>
    <row r="74" spans="2:38" ht="14.5" x14ac:dyDescent="0.4">
      <c r="B74" s="27" t="s">
        <v>365</v>
      </c>
      <c r="C74" s="184"/>
      <c r="D74" s="27"/>
      <c r="F74" s="27"/>
    </row>
    <row r="75" spans="2:38" ht="14.5" x14ac:dyDescent="0.4">
      <c r="B75" s="185" t="s">
        <v>463</v>
      </c>
      <c r="C75" s="186"/>
      <c r="D75" s="187"/>
      <c r="E75" s="188"/>
      <c r="F75" s="185"/>
    </row>
    <row r="76" spans="2:38" ht="14.5" x14ac:dyDescent="0.4">
      <c r="B76" s="189" t="s">
        <v>464</v>
      </c>
      <c r="C76" s="190"/>
      <c r="D76" s="189"/>
      <c r="F76" s="189"/>
    </row>
    <row r="77" spans="2:38" ht="14.5" x14ac:dyDescent="0.4">
      <c r="B77" s="29" t="s">
        <v>367</v>
      </c>
      <c r="C77" s="191"/>
      <c r="D77" s="192"/>
      <c r="E77" s="164"/>
      <c r="F77" s="193"/>
    </row>
  </sheetData>
  <pageMargins left="0.7" right="0.7" top="0.78749999999999998" bottom="0.78749999999999998" header="0.511811023622047" footer="0.511811023622047"/>
  <pageSetup paperSize="9" scale="37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36"/>
  <sheetViews>
    <sheetView showGridLines="0" view="pageBreakPreview" zoomScale="60" zoomScaleNormal="100" workbookViewId="0">
      <pane xSplit="7" ySplit="2" topLeftCell="Z3" activePane="bottomRight" state="frozen"/>
      <selection pane="topRight" activeCell="N1" sqref="N1"/>
      <selection pane="bottomLeft" activeCell="A3" sqref="A3"/>
      <selection pane="bottomRight" activeCell="AU15" sqref="AU15"/>
    </sheetView>
  </sheetViews>
  <sheetFormatPr baseColWidth="10" defaultColWidth="10.54296875" defaultRowHeight="14.25" customHeight="1" x14ac:dyDescent="0.4"/>
  <cols>
    <col min="1" max="1" width="15" style="194" customWidth="1"/>
    <col min="2" max="2" width="31.26953125" style="30" customWidth="1"/>
    <col min="3" max="3" width="14.1796875" style="30" customWidth="1"/>
    <col min="4" max="4" width="13.453125" style="30" customWidth="1"/>
    <col min="5" max="5" width="9.81640625" style="30" customWidth="1"/>
    <col min="6" max="6" width="13.26953125" style="195" customWidth="1"/>
    <col min="7" max="7" width="1.54296875" style="194" customWidth="1"/>
    <col min="8" max="18" width="7.7265625" style="194" customWidth="1"/>
    <col min="19" max="19" width="10.453125" style="194" customWidth="1"/>
    <col min="20" max="20" width="9.81640625" style="36" customWidth="1"/>
    <col min="21" max="21" width="1.54296875" style="194" customWidth="1"/>
    <col min="22" max="30" width="7.7265625" style="30" customWidth="1"/>
    <col min="31" max="31" width="9.54296875" style="30" customWidth="1"/>
    <col min="32" max="33" width="7.7265625" style="30" customWidth="1"/>
    <col min="34" max="34" width="10" style="36" customWidth="1"/>
    <col min="35" max="35" width="2" style="31" customWidth="1"/>
    <col min="36" max="47" width="7.81640625" style="194" customWidth="1"/>
    <col min="48" max="48" width="8.7265625" style="36" customWidth="1"/>
    <col min="49" max="49" width="4.81640625" style="30" customWidth="1"/>
    <col min="50" max="16384" width="10.54296875" style="30"/>
  </cols>
  <sheetData>
    <row r="1" spans="1:49" ht="14.5" x14ac:dyDescent="0.4">
      <c r="A1" s="37" t="s">
        <v>332</v>
      </c>
      <c r="B1" s="35" t="s">
        <v>465</v>
      </c>
      <c r="C1" s="35"/>
      <c r="D1" s="37"/>
      <c r="E1" s="37"/>
      <c r="F1" s="196"/>
      <c r="G1" s="197"/>
      <c r="H1" s="1053">
        <v>2024</v>
      </c>
      <c r="I1" s="1053"/>
      <c r="J1" s="1053"/>
      <c r="K1" s="1053"/>
      <c r="L1" s="1053"/>
      <c r="M1" s="1053"/>
      <c r="N1" s="1053"/>
      <c r="O1" s="1053"/>
      <c r="P1" s="1053"/>
      <c r="Q1" s="1053"/>
      <c r="R1" s="1053"/>
      <c r="S1" s="1053"/>
      <c r="T1" s="198">
        <v>2024</v>
      </c>
      <c r="U1" s="41"/>
      <c r="V1" s="1054">
        <v>2025</v>
      </c>
      <c r="W1" s="1054"/>
      <c r="X1" s="1054"/>
      <c r="Y1" s="1054"/>
      <c r="Z1" s="1054"/>
      <c r="AA1" s="1054"/>
      <c r="AB1" s="1054"/>
      <c r="AC1" s="1054"/>
      <c r="AD1" s="1054"/>
      <c r="AE1" s="1054"/>
      <c r="AF1" s="1054"/>
      <c r="AG1" s="1054"/>
      <c r="AH1" s="199">
        <v>2025</v>
      </c>
      <c r="AI1" s="200"/>
      <c r="AJ1" s="201">
        <v>2026</v>
      </c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0">
        <v>2026</v>
      </c>
    </row>
    <row r="2" spans="1:49" ht="14.5" x14ac:dyDescent="0.4">
      <c r="B2" s="44" t="s">
        <v>335</v>
      </c>
      <c r="D2" s="194"/>
      <c r="G2" s="202"/>
      <c r="H2" s="194">
        <v>2</v>
      </c>
      <c r="I2" s="194">
        <v>3</v>
      </c>
      <c r="J2" s="194">
        <v>4</v>
      </c>
      <c r="K2" s="194">
        <v>5</v>
      </c>
      <c r="L2" s="194">
        <v>6</v>
      </c>
      <c r="M2" s="194">
        <v>7</v>
      </c>
      <c r="N2" s="194">
        <v>8</v>
      </c>
      <c r="O2" s="194">
        <v>9</v>
      </c>
      <c r="P2" s="194">
        <v>10</v>
      </c>
      <c r="Q2" s="194">
        <v>11</v>
      </c>
      <c r="R2" s="194">
        <v>12</v>
      </c>
      <c r="S2" s="194">
        <v>1</v>
      </c>
      <c r="T2" s="203" t="s">
        <v>336</v>
      </c>
      <c r="U2" s="204"/>
      <c r="V2" s="194">
        <v>2</v>
      </c>
      <c r="W2" s="194">
        <v>3</v>
      </c>
      <c r="X2" s="194">
        <v>4</v>
      </c>
      <c r="Y2" s="194">
        <v>5</v>
      </c>
      <c r="Z2" s="194">
        <v>6</v>
      </c>
      <c r="AA2" s="194">
        <v>7</v>
      </c>
      <c r="AB2" s="194">
        <v>8</v>
      </c>
      <c r="AC2" s="194">
        <v>9</v>
      </c>
      <c r="AD2" s="194">
        <v>10</v>
      </c>
      <c r="AE2" s="194">
        <v>11</v>
      </c>
      <c r="AF2" s="194">
        <v>12</v>
      </c>
      <c r="AG2" s="194">
        <v>1</v>
      </c>
      <c r="AH2" s="199" t="s">
        <v>336</v>
      </c>
      <c r="AI2" s="205"/>
      <c r="AJ2" s="194">
        <v>2</v>
      </c>
      <c r="AK2" s="194">
        <v>3</v>
      </c>
      <c r="AL2" s="194">
        <v>4</v>
      </c>
      <c r="AM2" s="194">
        <v>5</v>
      </c>
      <c r="AN2" s="194">
        <v>6</v>
      </c>
      <c r="AO2" s="194">
        <v>7</v>
      </c>
      <c r="AP2" s="194">
        <v>8</v>
      </c>
      <c r="AQ2" s="194">
        <v>9</v>
      </c>
      <c r="AR2" s="194">
        <v>10</v>
      </c>
      <c r="AS2" s="194">
        <v>11</v>
      </c>
      <c r="AT2" s="194">
        <v>12</v>
      </c>
      <c r="AU2" s="194">
        <v>1</v>
      </c>
      <c r="AV2" s="200" t="s">
        <v>336</v>
      </c>
    </row>
    <row r="3" spans="1:49" ht="15" customHeight="1" x14ac:dyDescent="0.4">
      <c r="C3" s="1055" t="s">
        <v>466</v>
      </c>
      <c r="D3" s="1055" t="s">
        <v>467</v>
      </c>
      <c r="G3" s="202"/>
      <c r="T3" s="203"/>
      <c r="U3" s="20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9"/>
      <c r="AI3" s="205"/>
      <c r="AV3" s="200"/>
    </row>
    <row r="4" spans="1:49" ht="14.5" x14ac:dyDescent="0.4">
      <c r="C4" s="1055"/>
      <c r="D4" s="1055"/>
      <c r="G4" s="202"/>
      <c r="T4" s="203"/>
      <c r="U4" s="20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9"/>
      <c r="AI4" s="205"/>
      <c r="AV4" s="200"/>
      <c r="AW4" s="34"/>
    </row>
    <row r="5" spans="1:49" ht="14.5" x14ac:dyDescent="0.4">
      <c r="B5" s="206" t="s">
        <v>468</v>
      </c>
      <c r="C5" s="207"/>
      <c r="D5" s="207"/>
      <c r="E5" s="207"/>
      <c r="F5" s="208"/>
      <c r="G5" s="209"/>
      <c r="T5" s="203"/>
      <c r="U5" s="204"/>
      <c r="V5" s="194"/>
      <c r="W5" s="210"/>
      <c r="X5" s="210"/>
      <c r="Y5" s="194"/>
      <c r="Z5" s="194"/>
      <c r="AA5" s="194"/>
      <c r="AB5" s="194"/>
      <c r="AC5" s="194"/>
      <c r="AD5" s="194"/>
      <c r="AE5" s="194"/>
      <c r="AF5" s="194"/>
      <c r="AG5" s="194"/>
      <c r="AH5" s="199"/>
      <c r="AI5" s="205"/>
      <c r="AV5" s="200"/>
      <c r="AW5" s="34"/>
    </row>
    <row r="6" spans="1:49" ht="14.5" x14ac:dyDescent="0.4">
      <c r="B6" s="211" t="s">
        <v>469</v>
      </c>
      <c r="C6" s="212">
        <v>45627</v>
      </c>
      <c r="D6" s="213">
        <v>1</v>
      </c>
      <c r="E6" s="214">
        <v>25000</v>
      </c>
      <c r="F6" s="215" t="s">
        <v>470</v>
      </c>
      <c r="G6" s="209"/>
      <c r="H6" s="216"/>
      <c r="I6" s="216"/>
      <c r="J6" s="216"/>
      <c r="K6" s="216"/>
      <c r="L6" s="216"/>
      <c r="M6" s="216"/>
      <c r="N6" s="216"/>
      <c r="O6" s="217"/>
      <c r="P6" s="216"/>
      <c r="Q6" s="216"/>
      <c r="R6" s="216"/>
      <c r="S6" s="216"/>
      <c r="T6" s="218">
        <f t="shared" ref="T6:T11" si="0">SUM(H6:S6)</f>
        <v>0</v>
      </c>
      <c r="U6" s="219"/>
      <c r="V6" s="216"/>
      <c r="W6" s="133"/>
      <c r="X6" s="220">
        <v>25000</v>
      </c>
      <c r="Y6" s="216"/>
      <c r="Z6" s="216"/>
      <c r="AA6" s="216"/>
      <c r="AB6" s="216"/>
      <c r="AC6" s="216"/>
      <c r="AD6" s="216"/>
      <c r="AE6" s="216"/>
      <c r="AF6" s="216"/>
      <c r="AG6" s="216"/>
      <c r="AH6" s="221">
        <f t="shared" ref="AH6:AH11" si="1">SUM(V6:AG6)</f>
        <v>25000</v>
      </c>
      <c r="AI6" s="222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23">
        <f t="shared" ref="AV6:AV11" si="2">SUM(AJ6:AU6)</f>
        <v>0</v>
      </c>
      <c r="AW6" s="34">
        <f t="shared" ref="AW6:AW10" si="3">D6*E6-T6-AH6-AV6</f>
        <v>0</v>
      </c>
    </row>
    <row r="7" spans="1:49" ht="14.5" x14ac:dyDescent="0.4">
      <c r="B7" s="211" t="s">
        <v>471</v>
      </c>
      <c r="C7" s="212">
        <v>45627</v>
      </c>
      <c r="D7" s="213">
        <v>1</v>
      </c>
      <c r="E7" s="214">
        <f>11869+5561</f>
        <v>17430</v>
      </c>
      <c r="F7" s="215" t="s">
        <v>470</v>
      </c>
      <c r="G7" s="224"/>
      <c r="H7" s="217"/>
      <c r="I7" s="216"/>
      <c r="J7" s="216"/>
      <c r="K7" s="216"/>
      <c r="L7" s="216"/>
      <c r="M7" s="216"/>
      <c r="N7" s="216"/>
      <c r="O7" s="217"/>
      <c r="P7" s="216"/>
      <c r="Q7" s="216"/>
      <c r="R7" s="220">
        <v>11869</v>
      </c>
      <c r="S7" s="216"/>
      <c r="T7" s="218">
        <f t="shared" si="0"/>
        <v>11869</v>
      </c>
      <c r="U7" s="219"/>
      <c r="V7" s="220">
        <v>5561</v>
      </c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21">
        <f t="shared" si="1"/>
        <v>5561</v>
      </c>
      <c r="AI7" s="222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23">
        <f t="shared" si="2"/>
        <v>0</v>
      </c>
      <c r="AW7" s="34">
        <f t="shared" si="3"/>
        <v>0</v>
      </c>
    </row>
    <row r="8" spans="1:49" ht="14.5" x14ac:dyDescent="0.4">
      <c r="A8" s="194">
        <v>9113</v>
      </c>
      <c r="B8" s="225" t="s">
        <v>472</v>
      </c>
      <c r="C8" s="226">
        <v>45717</v>
      </c>
      <c r="D8" s="227">
        <v>1</v>
      </c>
      <c r="E8" s="228">
        <v>20500</v>
      </c>
      <c r="F8" s="215"/>
      <c r="G8" s="224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7"/>
      <c r="S8" s="216"/>
      <c r="T8" s="218">
        <f t="shared" si="0"/>
        <v>0</v>
      </c>
      <c r="U8" s="219"/>
      <c r="V8" s="216"/>
      <c r="W8" s="216"/>
      <c r="X8" s="216"/>
      <c r="Y8" s="220">
        <v>10250</v>
      </c>
      <c r="Z8" s="216"/>
      <c r="AA8" s="216"/>
      <c r="AB8" s="216"/>
      <c r="AC8" s="216"/>
      <c r="AD8" s="216"/>
      <c r="AE8" s="216"/>
      <c r="AF8" s="216"/>
      <c r="AG8" s="216"/>
      <c r="AH8" s="221">
        <f t="shared" si="1"/>
        <v>10250</v>
      </c>
      <c r="AI8" s="222"/>
      <c r="AJ8" s="216"/>
      <c r="AK8" s="216"/>
      <c r="AL8" s="216">
        <f>E8-Y8</f>
        <v>10250</v>
      </c>
      <c r="AM8" s="216"/>
      <c r="AN8" s="216"/>
      <c r="AO8" s="216"/>
      <c r="AP8" s="216"/>
      <c r="AQ8" s="216"/>
      <c r="AR8" s="216"/>
      <c r="AS8" s="216"/>
      <c r="AT8" s="216"/>
      <c r="AU8" s="216"/>
      <c r="AV8" s="223">
        <f t="shared" si="2"/>
        <v>10250</v>
      </c>
      <c r="AW8" s="34">
        <f t="shared" si="3"/>
        <v>0</v>
      </c>
    </row>
    <row r="9" spans="1:49" ht="14.5" x14ac:dyDescent="0.4">
      <c r="B9" s="211" t="s">
        <v>473</v>
      </c>
      <c r="C9" s="212"/>
      <c r="D9" s="213">
        <v>1</v>
      </c>
      <c r="E9" s="229">
        <v>10000</v>
      </c>
      <c r="F9" s="215"/>
      <c r="G9" s="224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7"/>
      <c r="S9" s="220">
        <v>10000</v>
      </c>
      <c r="T9" s="218">
        <f t="shared" si="0"/>
        <v>10000</v>
      </c>
      <c r="U9" s="219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21">
        <f t="shared" si="1"/>
        <v>0</v>
      </c>
      <c r="AI9" s="222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23">
        <f t="shared" si="2"/>
        <v>0</v>
      </c>
      <c r="AW9" s="34">
        <f t="shared" si="3"/>
        <v>0</v>
      </c>
    </row>
    <row r="10" spans="1:49" ht="14.5" x14ac:dyDescent="0.4">
      <c r="B10" s="211" t="s">
        <v>474</v>
      </c>
      <c r="C10" s="212">
        <v>45658</v>
      </c>
      <c r="D10" s="213">
        <v>1</v>
      </c>
      <c r="E10" s="229">
        <f>1810*1.2*75%</f>
        <v>1629</v>
      </c>
      <c r="F10" s="215"/>
      <c r="G10" s="224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7"/>
      <c r="S10" s="216"/>
      <c r="T10" s="218">
        <f t="shared" si="0"/>
        <v>0</v>
      </c>
      <c r="U10" s="219"/>
      <c r="V10" s="220">
        <f>E10</f>
        <v>1629</v>
      </c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21">
        <f t="shared" si="1"/>
        <v>1629</v>
      </c>
      <c r="AI10" s="222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23">
        <f t="shared" si="2"/>
        <v>0</v>
      </c>
      <c r="AW10" s="34">
        <f t="shared" si="3"/>
        <v>0</v>
      </c>
    </row>
    <row r="11" spans="1:49" ht="14.5" x14ac:dyDescent="0.4">
      <c r="B11" s="225" t="s">
        <v>475</v>
      </c>
      <c r="C11" s="226">
        <v>46143</v>
      </c>
      <c r="D11" s="227">
        <v>1</v>
      </c>
      <c r="E11" s="228">
        <v>15000</v>
      </c>
      <c r="F11" s="215"/>
      <c r="G11" s="230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8">
        <f t="shared" si="0"/>
        <v>0</v>
      </c>
      <c r="U11" s="219"/>
      <c r="V11" s="216"/>
      <c r="W11" s="216"/>
      <c r="X11" s="216"/>
      <c r="Y11" s="133"/>
      <c r="Z11" s="216"/>
      <c r="AA11" s="216"/>
      <c r="AB11" s="133"/>
      <c r="AC11" s="216"/>
      <c r="AD11" s="133"/>
      <c r="AE11" s="133"/>
      <c r="AF11" s="216"/>
      <c r="AG11" s="216"/>
      <c r="AH11" s="221">
        <f t="shared" si="1"/>
        <v>0</v>
      </c>
      <c r="AI11" s="222"/>
      <c r="AJ11" s="216"/>
      <c r="AK11" s="216"/>
      <c r="AL11" s="216"/>
      <c r="AM11" s="216">
        <f>E11</f>
        <v>15000</v>
      </c>
      <c r="AN11" s="216"/>
      <c r="AO11" s="216"/>
      <c r="AP11" s="216"/>
      <c r="AQ11" s="216"/>
      <c r="AR11" s="216"/>
      <c r="AS11" s="216"/>
      <c r="AT11" s="216"/>
      <c r="AU11" s="216"/>
      <c r="AV11" s="223">
        <f t="shared" si="2"/>
        <v>15000</v>
      </c>
      <c r="AW11" s="34" t="e">
        <f>#REF!*#REF!-T11-AH11-AV11</f>
        <v>#REF!</v>
      </c>
    </row>
    <row r="12" spans="1:49" ht="14.5" x14ac:dyDescent="0.4">
      <c r="B12" s="30" t="s">
        <v>837</v>
      </c>
      <c r="C12" s="226">
        <v>45962</v>
      </c>
      <c r="D12" s="227">
        <v>1</v>
      </c>
      <c r="E12" s="30">
        <v>2500</v>
      </c>
      <c r="F12" s="215"/>
      <c r="G12" s="230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8"/>
      <c r="U12" s="219"/>
      <c r="V12" s="216"/>
      <c r="W12" s="216"/>
      <c r="X12" s="216"/>
      <c r="Y12" s="133"/>
      <c r="Z12" s="216"/>
      <c r="AA12" s="216"/>
      <c r="AB12" s="133"/>
      <c r="AC12" s="231"/>
      <c r="AD12" s="133"/>
      <c r="AE12" s="133"/>
      <c r="AF12" s="216">
        <f>E12</f>
        <v>2500</v>
      </c>
      <c r="AG12" s="216"/>
      <c r="AH12" s="221"/>
      <c r="AI12" s="222"/>
      <c r="AJ12" s="216"/>
      <c r="AK12" s="216"/>
      <c r="AL12" s="216"/>
      <c r="AM12" s="216"/>
      <c r="AN12" s="216"/>
      <c r="AO12" s="216"/>
      <c r="AP12" s="216"/>
      <c r="AQ12" s="216"/>
      <c r="AR12" s="216"/>
      <c r="AS12" s="216"/>
      <c r="AT12" s="216"/>
      <c r="AU12" s="216"/>
      <c r="AV12" s="223"/>
      <c r="AW12" s="34"/>
    </row>
    <row r="13" spans="1:49" ht="14.5" x14ac:dyDescent="0.4">
      <c r="A13" s="194">
        <v>9111</v>
      </c>
      <c r="B13" s="225" t="s">
        <v>476</v>
      </c>
      <c r="C13" s="226">
        <v>45566</v>
      </c>
      <c r="D13" s="227">
        <v>1</v>
      </c>
      <c r="E13" s="228">
        <f>80000</f>
        <v>80000</v>
      </c>
      <c r="F13" s="215"/>
      <c r="G13" s="224"/>
      <c r="H13" s="216"/>
      <c r="I13" s="216"/>
      <c r="J13" s="216"/>
      <c r="K13" s="216"/>
      <c r="L13" s="216"/>
      <c r="M13" s="216"/>
      <c r="N13" s="216"/>
      <c r="O13" s="216"/>
      <c r="P13" s="220">
        <v>37500</v>
      </c>
      <c r="Q13" s="216"/>
      <c r="R13" s="216"/>
      <c r="S13" s="216"/>
      <c r="T13" s="218">
        <f t="shared" ref="T13:T18" si="4">SUM(H13:S13)</f>
        <v>37500</v>
      </c>
      <c r="U13" s="219"/>
      <c r="V13" s="216"/>
      <c r="W13" s="216"/>
      <c r="X13" s="216"/>
      <c r="Y13" s="217"/>
      <c r="Z13" s="216"/>
      <c r="AA13" s="216"/>
      <c r="AB13" s="216"/>
      <c r="AC13" s="133"/>
      <c r="AD13" s="216"/>
      <c r="AE13" s="216"/>
      <c r="AF13" s="216"/>
      <c r="AH13" s="221">
        <f t="shared" ref="AH13:AH18" si="5">SUM(V13:AG13)</f>
        <v>0</v>
      </c>
      <c r="AI13" s="222"/>
      <c r="AJ13" s="216"/>
      <c r="AK13" s="216">
        <v>42500</v>
      </c>
      <c r="AL13" s="216"/>
      <c r="AM13" s="216"/>
      <c r="AN13" s="216"/>
      <c r="AO13" s="216"/>
      <c r="AP13" s="216"/>
      <c r="AQ13" s="216"/>
      <c r="AR13" s="216"/>
      <c r="AS13" s="216"/>
      <c r="AT13" s="216"/>
      <c r="AU13" s="216"/>
      <c r="AV13" s="223">
        <f t="shared" ref="AV13:AV21" si="6">SUM(AJ13:AU13)</f>
        <v>42500</v>
      </c>
      <c r="AW13" s="34">
        <f t="shared" ref="AW13:AW20" si="7">D13*E13-T13-AH13-AV13</f>
        <v>0</v>
      </c>
    </row>
    <row r="14" spans="1:49" ht="14.5" x14ac:dyDescent="0.4">
      <c r="A14" s="194">
        <v>9110</v>
      </c>
      <c r="B14" s="225" t="s">
        <v>477</v>
      </c>
      <c r="C14" s="226">
        <v>45597</v>
      </c>
      <c r="D14" s="227">
        <v>1</v>
      </c>
      <c r="E14" s="228">
        <v>35000</v>
      </c>
      <c r="F14" s="215"/>
      <c r="G14" s="224"/>
      <c r="H14" s="216"/>
      <c r="I14" s="216"/>
      <c r="J14" s="216"/>
      <c r="K14" s="216"/>
      <c r="L14" s="216"/>
      <c r="M14" s="216"/>
      <c r="N14" s="216"/>
      <c r="O14" s="216"/>
      <c r="P14" s="220">
        <f>E14*D14/2</f>
        <v>17500</v>
      </c>
      <c r="Q14" s="133"/>
      <c r="R14" s="216"/>
      <c r="S14" s="216"/>
      <c r="T14" s="218">
        <f t="shared" si="4"/>
        <v>17500</v>
      </c>
      <c r="U14" s="219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>
        <f>$E14/2</f>
        <v>17500</v>
      </c>
      <c r="AH14" s="221">
        <f t="shared" si="5"/>
        <v>17500</v>
      </c>
      <c r="AI14" s="222"/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AT14" s="216"/>
      <c r="AU14" s="216"/>
      <c r="AV14" s="223">
        <f t="shared" si="6"/>
        <v>0</v>
      </c>
      <c r="AW14" s="34">
        <f t="shared" si="7"/>
        <v>0</v>
      </c>
    </row>
    <row r="15" spans="1:49" ht="14.5" x14ac:dyDescent="0.4">
      <c r="A15" s="194">
        <v>9112</v>
      </c>
      <c r="B15" s="225" t="s">
        <v>478</v>
      </c>
      <c r="C15" s="226">
        <v>45778</v>
      </c>
      <c r="D15" s="227">
        <v>1</v>
      </c>
      <c r="E15" s="228">
        <v>25000</v>
      </c>
      <c r="F15" s="215"/>
      <c r="G15" s="224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7"/>
      <c r="T15" s="218">
        <f t="shared" si="4"/>
        <v>0</v>
      </c>
      <c r="U15" s="219"/>
      <c r="V15" s="216"/>
      <c r="W15" s="216"/>
      <c r="X15" s="216"/>
      <c r="Y15" s="133"/>
      <c r="Z15" s="216"/>
      <c r="AA15" s="216"/>
      <c r="AB15" s="216"/>
      <c r="AC15" s="216"/>
      <c r="AD15" s="216"/>
      <c r="AE15" s="216"/>
      <c r="AF15" s="216">
        <f>$E15</f>
        <v>25000</v>
      </c>
      <c r="AG15" s="216"/>
      <c r="AH15" s="221">
        <f t="shared" si="5"/>
        <v>25000</v>
      </c>
      <c r="AI15" s="222"/>
      <c r="AJ15" s="216"/>
      <c r="AK15" s="216"/>
      <c r="AL15" s="216"/>
      <c r="AM15" s="216"/>
      <c r="AN15" s="216"/>
      <c r="AO15" s="216"/>
      <c r="AP15" s="216"/>
      <c r="AQ15" s="216"/>
      <c r="AR15" s="216"/>
      <c r="AS15" s="216"/>
      <c r="AT15" s="216"/>
      <c r="AU15" s="216"/>
      <c r="AV15" s="223">
        <f t="shared" si="6"/>
        <v>0</v>
      </c>
      <c r="AW15" s="34">
        <f t="shared" si="7"/>
        <v>0</v>
      </c>
    </row>
    <row r="16" spans="1:49" ht="14.5" x14ac:dyDescent="0.4">
      <c r="A16" s="194" t="s">
        <v>479</v>
      </c>
      <c r="B16" s="211" t="s">
        <v>480</v>
      </c>
      <c r="C16" s="212">
        <v>45627</v>
      </c>
      <c r="D16" s="213">
        <v>1</v>
      </c>
      <c r="E16" s="229">
        <f>42700+2530+510</f>
        <v>45740</v>
      </c>
      <c r="F16" s="215"/>
      <c r="G16" s="209"/>
      <c r="H16" s="216"/>
      <c r="I16" s="216"/>
      <c r="J16" s="216"/>
      <c r="K16" s="216"/>
      <c r="L16" s="216"/>
      <c r="M16" s="216"/>
      <c r="N16" s="216"/>
      <c r="O16" s="216"/>
      <c r="P16" s="216"/>
      <c r="Q16" s="220">
        <f>E16</f>
        <v>45740</v>
      </c>
      <c r="R16" s="216"/>
      <c r="S16" s="216"/>
      <c r="T16" s="218">
        <f t="shared" si="4"/>
        <v>45740</v>
      </c>
      <c r="U16" s="219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21">
        <f t="shared" si="5"/>
        <v>0</v>
      </c>
      <c r="AI16" s="222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23">
        <f t="shared" si="6"/>
        <v>0</v>
      </c>
      <c r="AW16" s="34">
        <f t="shared" si="7"/>
        <v>0</v>
      </c>
    </row>
    <row r="17" spans="2:49" ht="14.5" x14ac:dyDescent="0.4">
      <c r="B17" s="211" t="s">
        <v>481</v>
      </c>
      <c r="C17" s="212"/>
      <c r="D17" s="213">
        <v>1</v>
      </c>
      <c r="E17" s="214">
        <v>5200</v>
      </c>
      <c r="F17" s="232"/>
      <c r="G17" s="233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5"/>
      <c r="S17" s="234"/>
      <c r="T17" s="218">
        <f t="shared" si="4"/>
        <v>0</v>
      </c>
      <c r="U17" s="236"/>
      <c r="V17" s="234"/>
      <c r="W17" s="166"/>
      <c r="X17" s="234"/>
      <c r="Y17" s="220">
        <v>5200</v>
      </c>
      <c r="Z17" s="216"/>
      <c r="AA17" s="234"/>
      <c r="AB17" s="234"/>
      <c r="AC17" s="216"/>
      <c r="AD17" s="217"/>
      <c r="AE17" s="216"/>
      <c r="AF17" s="217"/>
      <c r="AG17" s="217"/>
      <c r="AH17" s="221">
        <f t="shared" si="5"/>
        <v>5200</v>
      </c>
      <c r="AI17" s="222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23">
        <f t="shared" si="6"/>
        <v>0</v>
      </c>
      <c r="AW17" s="34">
        <f t="shared" si="7"/>
        <v>0</v>
      </c>
    </row>
    <row r="18" spans="2:49" ht="14.5" x14ac:dyDescent="0.4">
      <c r="B18" s="225" t="s">
        <v>482</v>
      </c>
      <c r="C18" s="226"/>
      <c r="D18" s="227">
        <v>0</v>
      </c>
      <c r="E18" s="169">
        <v>0</v>
      </c>
      <c r="F18" s="215"/>
      <c r="G18" s="230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8">
        <f t="shared" si="4"/>
        <v>0</v>
      </c>
      <c r="U18" s="219"/>
      <c r="V18" s="217"/>
      <c r="W18" s="166"/>
      <c r="X18" s="217"/>
      <c r="Y18" s="217"/>
      <c r="Z18" s="216"/>
      <c r="AA18" s="217"/>
      <c r="AB18" s="217"/>
      <c r="AC18" s="217"/>
      <c r="AD18" s="217"/>
      <c r="AE18" s="217"/>
      <c r="AF18" s="217"/>
      <c r="AG18" s="217"/>
      <c r="AH18" s="221">
        <f t="shared" si="5"/>
        <v>0</v>
      </c>
      <c r="AI18" s="222"/>
      <c r="AJ18" s="216"/>
      <c r="AK18" s="216"/>
      <c r="AL18" s="216"/>
      <c r="AM18" s="216"/>
      <c r="AN18" s="216"/>
      <c r="AO18" s="216"/>
      <c r="AP18" s="216"/>
      <c r="AQ18" s="216"/>
      <c r="AR18" s="216"/>
      <c r="AS18" s="216"/>
      <c r="AT18" s="216"/>
      <c r="AU18" s="216"/>
      <c r="AV18" s="223">
        <f t="shared" si="6"/>
        <v>0</v>
      </c>
      <c r="AW18" s="34">
        <f t="shared" si="7"/>
        <v>0</v>
      </c>
    </row>
    <row r="19" spans="2:49" ht="14.5" x14ac:dyDescent="0.4">
      <c r="B19" s="225" t="s">
        <v>483</v>
      </c>
      <c r="C19" s="226"/>
      <c r="D19" s="227">
        <v>1</v>
      </c>
      <c r="E19" s="237">
        <f>6000*0.85</f>
        <v>5100</v>
      </c>
      <c r="F19" s="215"/>
      <c r="G19" s="230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8"/>
      <c r="U19" s="219"/>
      <c r="V19" s="217"/>
      <c r="W19" s="166"/>
      <c r="X19" s="217"/>
      <c r="Y19" s="217"/>
      <c r="Z19" s="216"/>
      <c r="AA19" s="217"/>
      <c r="AB19" s="217"/>
      <c r="AC19" s="217"/>
      <c r="AD19" s="217"/>
      <c r="AE19" s="217"/>
      <c r="AF19" s="217"/>
      <c r="AG19" s="217"/>
      <c r="AH19" s="221"/>
      <c r="AI19" s="222"/>
      <c r="AJ19" s="216"/>
      <c r="AK19" s="216"/>
      <c r="AL19" s="216"/>
      <c r="AM19" s="216"/>
      <c r="AN19" s="216"/>
      <c r="AO19" s="216"/>
      <c r="AP19" s="216">
        <f>E19</f>
        <v>5100</v>
      </c>
      <c r="AQ19" s="216"/>
      <c r="AR19" s="216"/>
      <c r="AS19" s="216"/>
      <c r="AT19" s="216"/>
      <c r="AU19" s="216"/>
      <c r="AV19" s="223">
        <f t="shared" si="6"/>
        <v>5100</v>
      </c>
      <c r="AW19" s="34">
        <f t="shared" si="7"/>
        <v>0</v>
      </c>
    </row>
    <row r="20" spans="2:49" ht="14.5" x14ac:dyDescent="0.4">
      <c r="B20" s="225" t="s">
        <v>484</v>
      </c>
      <c r="C20" s="226"/>
      <c r="D20" s="227">
        <v>1</v>
      </c>
      <c r="E20" s="237">
        <f>1500*0.85</f>
        <v>1275</v>
      </c>
      <c r="F20" s="215"/>
      <c r="G20" s="230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8"/>
      <c r="U20" s="219"/>
      <c r="V20" s="217"/>
      <c r="W20" s="166"/>
      <c r="X20" s="217"/>
      <c r="Y20" s="217"/>
      <c r="Z20" s="216"/>
      <c r="AA20" s="217"/>
      <c r="AB20" s="217"/>
      <c r="AC20" s="217"/>
      <c r="AD20" s="217"/>
      <c r="AE20" s="217"/>
      <c r="AF20" s="217"/>
      <c r="AG20" s="217"/>
      <c r="AH20" s="221"/>
      <c r="AI20" s="222"/>
      <c r="AJ20" s="216"/>
      <c r="AK20" s="216"/>
      <c r="AL20" s="216"/>
      <c r="AM20" s="216"/>
      <c r="AN20" s="216"/>
      <c r="AO20" s="216"/>
      <c r="AP20" s="216">
        <f>E20</f>
        <v>1275</v>
      </c>
      <c r="AQ20" s="216"/>
      <c r="AR20" s="216"/>
      <c r="AS20" s="216"/>
      <c r="AT20" s="216"/>
      <c r="AU20" s="216"/>
      <c r="AV20" s="223">
        <f t="shared" si="6"/>
        <v>1275</v>
      </c>
      <c r="AW20" s="34">
        <f t="shared" si="7"/>
        <v>0</v>
      </c>
    </row>
    <row r="21" spans="2:49" ht="14.5" x14ac:dyDescent="0.4">
      <c r="B21" s="238" t="s">
        <v>485</v>
      </c>
      <c r="C21" s="170"/>
      <c r="D21" s="170"/>
      <c r="E21" s="170"/>
      <c r="F21" s="239"/>
      <c r="G21" s="240"/>
      <c r="H21" s="241">
        <f t="shared" ref="H21:S21" si="8">SUM(H4:H20)</f>
        <v>0</v>
      </c>
      <c r="I21" s="241">
        <f t="shared" si="8"/>
        <v>0</v>
      </c>
      <c r="J21" s="241">
        <f t="shared" si="8"/>
        <v>0</v>
      </c>
      <c r="K21" s="241">
        <f t="shared" si="8"/>
        <v>0</v>
      </c>
      <c r="L21" s="241">
        <f t="shared" si="8"/>
        <v>0</v>
      </c>
      <c r="M21" s="241">
        <f t="shared" si="8"/>
        <v>0</v>
      </c>
      <c r="N21" s="241">
        <f t="shared" si="8"/>
        <v>0</v>
      </c>
      <c r="O21" s="241">
        <f t="shared" si="8"/>
        <v>0</v>
      </c>
      <c r="P21" s="241">
        <f t="shared" si="8"/>
        <v>55000</v>
      </c>
      <c r="Q21" s="241">
        <f t="shared" si="8"/>
        <v>45740</v>
      </c>
      <c r="R21" s="241">
        <f t="shared" si="8"/>
        <v>11869</v>
      </c>
      <c r="S21" s="241">
        <f t="shared" si="8"/>
        <v>10000</v>
      </c>
      <c r="T21" s="242">
        <f>SUM(H21:S21)</f>
        <v>122609</v>
      </c>
      <c r="U21" s="243"/>
      <c r="V21" s="244">
        <f t="shared" ref="V21:AG21" si="9">SUM(V4:V20)</f>
        <v>7190</v>
      </c>
      <c r="W21" s="244">
        <f t="shared" si="9"/>
        <v>0</v>
      </c>
      <c r="X21" s="244">
        <f t="shared" si="9"/>
        <v>25000</v>
      </c>
      <c r="Y21" s="244">
        <f t="shared" si="9"/>
        <v>15450</v>
      </c>
      <c r="Z21" s="244">
        <f t="shared" si="9"/>
        <v>0</v>
      </c>
      <c r="AA21" s="244">
        <f t="shared" si="9"/>
        <v>0</v>
      </c>
      <c r="AB21" s="244">
        <f t="shared" si="9"/>
        <v>0</v>
      </c>
      <c r="AC21" s="244">
        <f t="shared" si="9"/>
        <v>0</v>
      </c>
      <c r="AD21" s="244">
        <f t="shared" si="9"/>
        <v>0</v>
      </c>
      <c r="AE21" s="244">
        <f t="shared" si="9"/>
        <v>0</v>
      </c>
      <c r="AF21" s="244">
        <f t="shared" si="9"/>
        <v>27500</v>
      </c>
      <c r="AG21" s="244">
        <f t="shared" si="9"/>
        <v>17500</v>
      </c>
      <c r="AH21" s="245">
        <f>SUM(V21:AG21)</f>
        <v>92640</v>
      </c>
      <c r="AI21" s="246"/>
      <c r="AJ21" s="247">
        <f t="shared" ref="AJ21:AU21" si="10">SUM(AJ4:AJ20)</f>
        <v>0</v>
      </c>
      <c r="AK21" s="247">
        <f t="shared" si="10"/>
        <v>42500</v>
      </c>
      <c r="AL21" s="247">
        <f t="shared" si="10"/>
        <v>10250</v>
      </c>
      <c r="AM21" s="247">
        <f t="shared" si="10"/>
        <v>15000</v>
      </c>
      <c r="AN21" s="247">
        <f t="shared" si="10"/>
        <v>0</v>
      </c>
      <c r="AO21" s="247">
        <f t="shared" si="10"/>
        <v>0</v>
      </c>
      <c r="AP21" s="247">
        <f t="shared" si="10"/>
        <v>6375</v>
      </c>
      <c r="AQ21" s="247">
        <f t="shared" si="10"/>
        <v>0</v>
      </c>
      <c r="AR21" s="247">
        <f t="shared" si="10"/>
        <v>0</v>
      </c>
      <c r="AS21" s="247">
        <f t="shared" si="10"/>
        <v>0</v>
      </c>
      <c r="AT21" s="247">
        <f t="shared" si="10"/>
        <v>0</v>
      </c>
      <c r="AU21" s="247">
        <f t="shared" si="10"/>
        <v>0</v>
      </c>
      <c r="AV21" s="248">
        <f t="shared" si="6"/>
        <v>74125</v>
      </c>
    </row>
    <row r="22" spans="2:49" ht="14.5" x14ac:dyDescent="0.4">
      <c r="T22" s="34">
        <f>SUM(T4:T20)-T21</f>
        <v>0</v>
      </c>
      <c r="U22" s="249"/>
      <c r="AH22" s="34">
        <f>SUM(AH4:AH20)-AH21</f>
        <v>-2500</v>
      </c>
      <c r="AI22" s="34"/>
      <c r="AJ22" s="250"/>
      <c r="AK22" s="250"/>
      <c r="AL22" s="250"/>
      <c r="AM22" s="250"/>
      <c r="AN22" s="250"/>
      <c r="AO22" s="250"/>
      <c r="AP22" s="250"/>
      <c r="AQ22" s="250"/>
      <c r="AR22" s="250"/>
      <c r="AS22" s="250"/>
      <c r="AT22" s="250"/>
      <c r="AU22" s="250"/>
      <c r="AV22" s="34">
        <f>SUM(AV4:AV20)-AV21</f>
        <v>0</v>
      </c>
    </row>
    <row r="23" spans="2:49" ht="14.5" x14ac:dyDescent="0.4">
      <c r="B23" s="251" t="s">
        <v>486</v>
      </c>
      <c r="C23" s="251"/>
      <c r="D23" s="251"/>
      <c r="E23" s="251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252"/>
      <c r="U23" s="249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2"/>
      <c r="AI23" s="135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135"/>
      <c r="AW23" s="251"/>
    </row>
    <row r="24" spans="2:49" ht="14.5" x14ac:dyDescent="0.4">
      <c r="B24" s="251"/>
      <c r="C24" s="253"/>
      <c r="D24" s="254" t="s">
        <v>487</v>
      </c>
      <c r="E24" s="132">
        <f>E6+E7+E9+E10+E17</f>
        <v>59259</v>
      </c>
      <c r="G24" s="195"/>
      <c r="H24" s="195"/>
      <c r="I24" s="195"/>
      <c r="J24" s="195"/>
      <c r="K24" s="195"/>
      <c r="L24" s="195"/>
      <c r="M24" s="195"/>
      <c r="N24" s="195"/>
      <c r="O24" s="195"/>
      <c r="P24" s="255"/>
      <c r="Q24" s="255"/>
      <c r="R24" s="217"/>
      <c r="S24" s="163" t="str">
        <f t="shared" ref="S24:S30" si="11">$D24</f>
        <v>abgerechnet und ausbezahlt</v>
      </c>
      <c r="T24" s="169">
        <f>T7+T9</f>
        <v>21869</v>
      </c>
      <c r="U24" s="249"/>
      <c r="V24" s="251"/>
      <c r="W24" s="251"/>
      <c r="X24" s="251"/>
      <c r="Y24" s="251"/>
      <c r="Z24" s="251"/>
      <c r="AA24" s="251"/>
      <c r="AB24" s="251"/>
      <c r="AC24" s="251"/>
      <c r="AD24" s="256"/>
      <c r="AE24" s="256"/>
      <c r="AF24" s="256"/>
      <c r="AG24" s="163" t="str">
        <f t="shared" ref="AG24:AG30" si="12">$D24</f>
        <v>abgerechnet und ausbezahlt</v>
      </c>
      <c r="AH24" s="169">
        <f>AH6+AH7+AH10+AH17</f>
        <v>37390</v>
      </c>
      <c r="AI24" s="135"/>
      <c r="AJ24" s="250"/>
      <c r="AK24" s="250"/>
      <c r="AL24" s="250"/>
      <c r="AM24" s="250"/>
      <c r="AN24" s="250"/>
      <c r="AO24" s="250"/>
      <c r="AP24" s="250"/>
      <c r="AQ24" s="250"/>
      <c r="AR24" s="256"/>
      <c r="AS24" s="256"/>
      <c r="AT24" s="256"/>
      <c r="AU24" s="163" t="str">
        <f t="shared" ref="AU24:AU30" si="13">$D24</f>
        <v>abgerechnet und ausbezahlt</v>
      </c>
      <c r="AV24" s="169">
        <v>0</v>
      </c>
      <c r="AW24" s="34">
        <f t="shared" ref="AW24:AW30" si="14">E24-T24-AH24-AV24</f>
        <v>0</v>
      </c>
    </row>
    <row r="25" spans="2:49" ht="14.5" x14ac:dyDescent="0.4">
      <c r="B25" s="251"/>
      <c r="C25" s="251"/>
      <c r="D25" s="163" t="s">
        <v>488</v>
      </c>
      <c r="E25" s="70">
        <f>P13+P14</f>
        <v>55000</v>
      </c>
      <c r="G25" s="195"/>
      <c r="H25" s="195"/>
      <c r="I25" s="195"/>
      <c r="J25" s="195"/>
      <c r="K25" s="195"/>
      <c r="L25" s="195"/>
      <c r="M25" s="195"/>
      <c r="N25" s="195"/>
      <c r="O25" s="195"/>
      <c r="P25" s="255"/>
      <c r="Q25" s="255"/>
      <c r="R25" s="217"/>
      <c r="S25" s="163" t="str">
        <f t="shared" si="11"/>
        <v>zugesagt, Akonto ausbezahlt 2024</v>
      </c>
      <c r="T25" s="169">
        <f>T13+T14</f>
        <v>55000</v>
      </c>
      <c r="U25" s="249"/>
      <c r="V25" s="251"/>
      <c r="W25" s="251"/>
      <c r="X25" s="251"/>
      <c r="Y25" s="251"/>
      <c r="Z25" s="251"/>
      <c r="AA25" s="251"/>
      <c r="AB25" s="251"/>
      <c r="AC25" s="251"/>
      <c r="AD25" s="256"/>
      <c r="AE25" s="256"/>
      <c r="AF25" s="256"/>
      <c r="AG25" s="163" t="str">
        <f t="shared" si="12"/>
        <v>zugesagt, Akonto ausbezahlt 2024</v>
      </c>
      <c r="AH25" s="70">
        <v>0</v>
      </c>
      <c r="AI25" s="135"/>
      <c r="AJ25" s="250"/>
      <c r="AK25" s="250"/>
      <c r="AL25" s="250"/>
      <c r="AM25" s="250"/>
      <c r="AN25" s="250"/>
      <c r="AO25" s="250"/>
      <c r="AP25" s="250"/>
      <c r="AQ25" s="250"/>
      <c r="AR25" s="256"/>
      <c r="AS25" s="256"/>
      <c r="AT25" s="256"/>
      <c r="AU25" s="163" t="str">
        <f t="shared" si="13"/>
        <v>zugesagt, Akonto ausbezahlt 2024</v>
      </c>
      <c r="AV25" s="169">
        <f>AV8</f>
        <v>10250</v>
      </c>
      <c r="AW25" s="34">
        <f t="shared" si="14"/>
        <v>-10250</v>
      </c>
    </row>
    <row r="26" spans="2:49" ht="14.5" x14ac:dyDescent="0.4">
      <c r="B26" s="84"/>
      <c r="C26" s="84"/>
      <c r="D26" s="163" t="s">
        <v>489</v>
      </c>
      <c r="E26" s="70">
        <f>E8+E13+E14+E15-E25</f>
        <v>105500</v>
      </c>
      <c r="F26" s="257"/>
      <c r="P26" s="217"/>
      <c r="Q26" s="217"/>
      <c r="R26" s="217"/>
      <c r="S26" s="163" t="str">
        <f t="shared" si="11"/>
        <v>zugesagt exkl. Ausbezahltes Akonto</v>
      </c>
      <c r="T26" s="163"/>
      <c r="AD26" s="84"/>
      <c r="AE26" s="84"/>
      <c r="AF26" s="84"/>
      <c r="AG26" s="163" t="str">
        <f t="shared" si="12"/>
        <v>zugesagt exkl. Ausbezahltes Akonto</v>
      </c>
      <c r="AH26" s="70">
        <f>AH8+AH13+AH14+AH15-AH25</f>
        <v>52750</v>
      </c>
      <c r="AR26" s="84"/>
      <c r="AS26" s="84"/>
      <c r="AT26" s="84"/>
      <c r="AU26" s="163" t="str">
        <f t="shared" si="13"/>
        <v>zugesagt exkl. Ausbezahltes Akonto</v>
      </c>
      <c r="AV26" s="169">
        <v>0</v>
      </c>
      <c r="AW26" s="34">
        <f t="shared" si="14"/>
        <v>52750</v>
      </c>
    </row>
    <row r="27" spans="2:49" ht="14.5" x14ac:dyDescent="0.4">
      <c r="B27" s="84"/>
      <c r="C27" s="84"/>
      <c r="D27" s="254" t="s">
        <v>490</v>
      </c>
      <c r="E27" s="132">
        <f>D16*E16</f>
        <v>45740</v>
      </c>
      <c r="F27" s="257"/>
      <c r="P27" s="217"/>
      <c r="Q27" s="217"/>
      <c r="R27" s="217"/>
      <c r="S27" s="163" t="str">
        <f t="shared" si="11"/>
        <v>Crowdfunding</v>
      </c>
      <c r="T27" s="169">
        <f>T16</f>
        <v>45740</v>
      </c>
      <c r="AD27" s="84"/>
      <c r="AE27" s="84"/>
      <c r="AF27" s="84"/>
      <c r="AG27" s="163" t="str">
        <f t="shared" si="12"/>
        <v>Crowdfunding</v>
      </c>
      <c r="AH27" s="169"/>
      <c r="AR27" s="84"/>
      <c r="AS27" s="84"/>
      <c r="AT27" s="84"/>
      <c r="AU27" s="163" t="str">
        <f t="shared" si="13"/>
        <v>Crowdfunding</v>
      </c>
      <c r="AV27" s="163">
        <v>0</v>
      </c>
      <c r="AW27" s="34">
        <f t="shared" si="14"/>
        <v>0</v>
      </c>
    </row>
    <row r="28" spans="2:49" ht="14.5" x14ac:dyDescent="0.4">
      <c r="B28" s="84"/>
      <c r="C28" s="84"/>
      <c r="D28" s="163" t="s">
        <v>491</v>
      </c>
      <c r="E28" s="70">
        <f>E18*D18</f>
        <v>0</v>
      </c>
      <c r="F28" s="257"/>
      <c r="P28" s="217"/>
      <c r="Q28" s="217"/>
      <c r="R28" s="217"/>
      <c r="S28" s="163" t="str">
        <f t="shared" si="11"/>
        <v>Förderungen eingereicht</v>
      </c>
      <c r="T28" s="169">
        <f>T18</f>
        <v>0</v>
      </c>
      <c r="AD28" s="84"/>
      <c r="AE28" s="84"/>
      <c r="AF28" s="84"/>
      <c r="AG28" s="163" t="str">
        <f t="shared" si="12"/>
        <v>Förderungen eingereicht</v>
      </c>
      <c r="AH28" s="169">
        <f>AH18</f>
        <v>0</v>
      </c>
      <c r="AR28" s="84"/>
      <c r="AS28" s="84"/>
      <c r="AT28" s="84"/>
      <c r="AU28" s="163" t="str">
        <f t="shared" si="13"/>
        <v>Förderungen eingereicht</v>
      </c>
      <c r="AV28" s="169">
        <f>AV18</f>
        <v>0</v>
      </c>
      <c r="AW28" s="34">
        <f t="shared" si="14"/>
        <v>0</v>
      </c>
    </row>
    <row r="29" spans="2:49" ht="14.5" x14ac:dyDescent="0.4">
      <c r="B29" s="84"/>
      <c r="C29" s="84"/>
      <c r="D29" s="163" t="s">
        <v>492</v>
      </c>
      <c r="E29" s="70" t="e">
        <f>#REF!+E19+E20</f>
        <v>#REF!</v>
      </c>
      <c r="F29" s="257"/>
      <c r="P29" s="217"/>
      <c r="Q29" s="217"/>
      <c r="R29" s="217"/>
      <c r="S29" s="163" t="str">
        <f t="shared" si="11"/>
        <v>Förderungen einzureichen</v>
      </c>
      <c r="T29" s="163"/>
      <c r="AD29" s="84"/>
      <c r="AE29" s="84"/>
      <c r="AF29" s="84"/>
      <c r="AG29" s="163" t="str">
        <f t="shared" si="12"/>
        <v>Förderungen einzureichen</v>
      </c>
      <c r="AH29" s="169">
        <f>AH11+AH19+AH20</f>
        <v>0</v>
      </c>
      <c r="AR29" s="84"/>
      <c r="AS29" s="84"/>
      <c r="AT29" s="84"/>
      <c r="AU29" s="163" t="str">
        <f t="shared" si="13"/>
        <v>Förderungen einzureichen</v>
      </c>
      <c r="AV29" s="169">
        <f>AV19+AV20</f>
        <v>6375</v>
      </c>
      <c r="AW29" s="34" t="e">
        <f t="shared" si="14"/>
        <v>#REF!</v>
      </c>
    </row>
    <row r="30" spans="2:49" ht="14.5" x14ac:dyDescent="0.4">
      <c r="B30" s="84"/>
      <c r="C30" s="84"/>
      <c r="D30" s="163" t="s">
        <v>336</v>
      </c>
      <c r="E30" s="258" t="e">
        <f>SUM(E24:E29)</f>
        <v>#REF!</v>
      </c>
      <c r="F30" s="250" t="e">
        <f>E30-T21-AH21-AV21</f>
        <v>#REF!</v>
      </c>
      <c r="P30" s="217"/>
      <c r="Q30" s="217"/>
      <c r="R30" s="217"/>
      <c r="S30" s="163" t="str">
        <f t="shared" si="11"/>
        <v>gesamt</v>
      </c>
      <c r="T30" s="237">
        <f>SUM(T24:T29)</f>
        <v>122609</v>
      </c>
      <c r="AD30" s="84"/>
      <c r="AE30" s="84"/>
      <c r="AF30" s="84"/>
      <c r="AG30" s="163" t="str">
        <f t="shared" si="12"/>
        <v>gesamt</v>
      </c>
      <c r="AH30" s="237">
        <f>SUM(AH24:AH29)</f>
        <v>90140</v>
      </c>
      <c r="AR30" s="84"/>
      <c r="AS30" s="84"/>
      <c r="AT30" s="84"/>
      <c r="AU30" s="163" t="str">
        <f t="shared" si="13"/>
        <v>gesamt</v>
      </c>
      <c r="AV30" s="237">
        <f>SUM(AV24:AV29)</f>
        <v>16625</v>
      </c>
      <c r="AW30" s="34" t="e">
        <f t="shared" si="14"/>
        <v>#REF!</v>
      </c>
    </row>
    <row r="31" spans="2:49" ht="14.5" x14ac:dyDescent="0.4">
      <c r="B31" s="30" t="s">
        <v>832</v>
      </c>
      <c r="F31" s="30"/>
      <c r="S31" s="31"/>
      <c r="T31" s="34">
        <f>T21-T30</f>
        <v>0</v>
      </c>
      <c r="AG31" s="31"/>
      <c r="AH31" s="34">
        <f>AH21-AH30</f>
        <v>2500</v>
      </c>
      <c r="AV31" s="34">
        <f>AV21-AV30</f>
        <v>57500</v>
      </c>
    </row>
    <row r="32" spans="2:49" ht="14.5" x14ac:dyDescent="0.4">
      <c r="B32" s="27" t="s">
        <v>365</v>
      </c>
      <c r="C32" s="27"/>
      <c r="D32" s="27"/>
      <c r="E32" s="259"/>
      <c r="F32" s="260"/>
      <c r="AG32" s="31"/>
    </row>
    <row r="33" spans="2:6" ht="14.5" x14ac:dyDescent="0.4">
      <c r="B33" s="28" t="s">
        <v>366</v>
      </c>
      <c r="C33" s="189"/>
      <c r="D33" s="189"/>
      <c r="E33" s="189"/>
      <c r="F33" s="261"/>
    </row>
    <row r="34" spans="2:6" ht="14.5" x14ac:dyDescent="0.4">
      <c r="B34" s="29" t="s">
        <v>367</v>
      </c>
      <c r="C34" s="29"/>
      <c r="D34" s="29"/>
      <c r="E34" s="29"/>
      <c r="F34" s="262"/>
    </row>
    <row r="35" spans="2:6" ht="14.5" x14ac:dyDescent="0.4">
      <c r="B35" s="263"/>
    </row>
    <row r="36" spans="2:6" ht="14.5" x14ac:dyDescent="0.4">
      <c r="D36" s="263"/>
    </row>
  </sheetData>
  <mergeCells count="4">
    <mergeCell ref="H1:S1"/>
    <mergeCell ref="V1:AG1"/>
    <mergeCell ref="C3:C4"/>
    <mergeCell ref="D3:D4"/>
  </mergeCells>
  <pageMargins left="0.7" right="0.7" top="0.78749999999999998" bottom="0.78749999999999998" header="0.511811023622047" footer="0.511811023622047"/>
  <pageSetup paperSize="9" scale="69" orientation="landscape" horizontalDpi="300" verticalDpi="300" r:id="rId1"/>
  <colBreaks count="2" manualBreakCount="2">
    <brk id="20" max="1048575" man="1"/>
    <brk id="34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B36"/>
  <sheetViews>
    <sheetView showGridLines="0" view="pageBreakPreview" zoomScale="75" zoomScaleNormal="100" zoomScaleSheetLayoutView="75" workbookViewId="0">
      <pane xSplit="6" ySplit="1" topLeftCell="BF2" activePane="bottomRight" state="frozen"/>
      <selection pane="topRight" activeCell="AE1" sqref="AE1"/>
      <selection pane="bottomLeft" activeCell="A2" sqref="A2"/>
      <selection pane="bottomRight" activeCell="BW5" sqref="BW5"/>
    </sheetView>
  </sheetViews>
  <sheetFormatPr baseColWidth="10" defaultColWidth="10.54296875" defaultRowHeight="14.25" customHeight="1" x14ac:dyDescent="0.4"/>
  <cols>
    <col min="1" max="1" width="17.453125" style="194" customWidth="1"/>
    <col min="2" max="2" width="10.54296875" style="30"/>
    <col min="3" max="3" width="16.26953125" style="30" customWidth="1"/>
    <col min="4" max="5" width="10.54296875" style="30"/>
    <col min="6" max="6" width="10.54296875" style="31"/>
    <col min="7" max="7" width="2" style="31" customWidth="1"/>
    <col min="8" max="8" width="11.54296875" style="31" customWidth="1"/>
    <col min="9" max="19" width="11.54296875" style="30" customWidth="1"/>
    <col min="20" max="20" width="11.54296875" style="35" customWidth="1"/>
    <col min="21" max="21" width="2" style="35" customWidth="1"/>
    <col min="22" max="22" width="11.54296875" style="30" customWidth="1"/>
    <col min="23" max="23" width="8.1796875" style="31" customWidth="1"/>
    <col min="24" max="24" width="9.26953125" style="30" customWidth="1"/>
    <col min="25" max="32" width="11.54296875" style="30" customWidth="1"/>
    <col min="33" max="33" width="11.26953125" style="31" customWidth="1"/>
    <col min="34" max="34" width="11.54296875" style="35" customWidth="1"/>
    <col min="35" max="35" width="2" style="35" customWidth="1"/>
    <col min="36" max="47" width="10.54296875" style="30"/>
    <col min="48" max="48" width="10.54296875" style="35"/>
    <col min="49" max="49" width="2" style="35" customWidth="1"/>
    <col min="50" max="61" width="10.54296875" style="30"/>
    <col min="62" max="62" width="10.54296875" style="35"/>
    <col min="63" max="63" width="2" style="30" customWidth="1"/>
    <col min="64" max="75" width="10.54296875" style="30"/>
    <col min="76" max="76" width="10.54296875" style="35"/>
    <col min="77" max="88" width="10.54296875" style="30"/>
    <col min="89" max="89" width="10.54296875" style="35"/>
    <col min="90" max="101" width="10.54296875" style="30"/>
    <col min="102" max="102" width="10.54296875" style="35"/>
    <col min="103" max="103" width="10.54296875" style="1008"/>
    <col min="104" max="106" width="10.54296875" style="999"/>
    <col min="107" max="16384" width="10.54296875" style="30"/>
  </cols>
  <sheetData>
    <row r="1" spans="1:106" ht="14.5" x14ac:dyDescent="0.4">
      <c r="A1" s="37" t="s">
        <v>332</v>
      </c>
      <c r="B1" s="35" t="s">
        <v>493</v>
      </c>
      <c r="C1" s="35"/>
      <c r="D1" s="37"/>
      <c r="E1" s="37"/>
      <c r="F1" s="36"/>
      <c r="G1" s="198"/>
      <c r="H1" s="1058">
        <v>2024</v>
      </c>
      <c r="I1" s="1058"/>
      <c r="J1" s="1058"/>
      <c r="K1" s="1058"/>
      <c r="L1" s="1058"/>
      <c r="M1" s="1058"/>
      <c r="N1" s="1058"/>
      <c r="O1" s="1058"/>
      <c r="P1" s="1058"/>
      <c r="Q1" s="1058"/>
      <c r="R1" s="1058"/>
      <c r="S1" s="1058"/>
      <c r="T1" s="40">
        <v>2024</v>
      </c>
      <c r="U1" s="37"/>
      <c r="V1" s="1054">
        <v>2025</v>
      </c>
      <c r="W1" s="1054"/>
      <c r="X1" s="1054"/>
      <c r="Y1" s="1054"/>
      <c r="Z1" s="1054"/>
      <c r="AA1" s="1054"/>
      <c r="AB1" s="1054"/>
      <c r="AC1" s="1054"/>
      <c r="AD1" s="1054"/>
      <c r="AE1" s="1054"/>
      <c r="AF1" s="1054"/>
      <c r="AG1" s="1054"/>
      <c r="AH1" s="41">
        <v>2025</v>
      </c>
      <c r="AI1" s="37"/>
      <c r="AJ1" s="1059">
        <v>2026</v>
      </c>
      <c r="AK1" s="1059"/>
      <c r="AL1" s="1059"/>
      <c r="AM1" s="1059"/>
      <c r="AN1" s="1059"/>
      <c r="AO1" s="1059"/>
      <c r="AP1" s="1059"/>
      <c r="AQ1" s="1059"/>
      <c r="AR1" s="1059"/>
      <c r="AS1" s="1059"/>
      <c r="AT1" s="1059"/>
      <c r="AU1" s="1059"/>
      <c r="AV1" s="201">
        <v>2026</v>
      </c>
      <c r="AW1" s="37"/>
      <c r="AX1" s="1060">
        <v>2027</v>
      </c>
      <c r="AY1" s="1060"/>
      <c r="AZ1" s="1060"/>
      <c r="BA1" s="1060"/>
      <c r="BB1" s="1060"/>
      <c r="BC1" s="1060"/>
      <c r="BD1" s="1060"/>
      <c r="BE1" s="1060"/>
      <c r="BF1" s="1060"/>
      <c r="BG1" s="1060"/>
      <c r="BH1" s="1060"/>
      <c r="BI1" s="1060"/>
      <c r="BJ1" s="264">
        <v>2027</v>
      </c>
      <c r="BK1" s="194"/>
      <c r="BL1" s="1056">
        <v>2028</v>
      </c>
      <c r="BM1" s="1056"/>
      <c r="BN1" s="1056"/>
      <c r="BO1" s="1056"/>
      <c r="BP1" s="1056"/>
      <c r="BQ1" s="1056"/>
      <c r="BR1" s="1056"/>
      <c r="BS1" s="1056"/>
      <c r="BT1" s="1056"/>
      <c r="BU1" s="1056"/>
      <c r="BV1" s="1056"/>
      <c r="BW1" s="1056"/>
      <c r="BX1" s="265">
        <v>2028</v>
      </c>
      <c r="CK1" s="265">
        <v>2029</v>
      </c>
      <c r="CX1" s="265">
        <v>2030</v>
      </c>
      <c r="CY1" s="998"/>
    </row>
    <row r="2" spans="1:106" ht="14.5" x14ac:dyDescent="0.4">
      <c r="B2" s="1057" t="s">
        <v>335</v>
      </c>
      <c r="C2" s="1057"/>
      <c r="D2" s="194"/>
      <c r="F2" s="31">
        <v>1</v>
      </c>
      <c r="G2" s="266"/>
      <c r="H2" s="194">
        <v>2</v>
      </c>
      <c r="I2" s="194">
        <v>3</v>
      </c>
      <c r="J2" s="194">
        <v>4</v>
      </c>
      <c r="K2" s="194">
        <v>5</v>
      </c>
      <c r="L2" s="194">
        <v>6</v>
      </c>
      <c r="M2" s="194">
        <v>7</v>
      </c>
      <c r="N2" s="194">
        <v>8</v>
      </c>
      <c r="O2" s="194">
        <v>9</v>
      </c>
      <c r="P2" s="194">
        <v>10</v>
      </c>
      <c r="Q2" s="194">
        <v>11</v>
      </c>
      <c r="R2" s="194">
        <v>12</v>
      </c>
      <c r="S2" s="194">
        <v>1</v>
      </c>
      <c r="T2" s="40"/>
      <c r="U2" s="37"/>
      <c r="V2" s="194">
        <v>2</v>
      </c>
      <c r="W2" s="194">
        <v>3</v>
      </c>
      <c r="X2" s="194">
        <v>4</v>
      </c>
      <c r="Y2" s="194">
        <v>5</v>
      </c>
      <c r="Z2" s="194">
        <v>6</v>
      </c>
      <c r="AA2" s="194">
        <v>7</v>
      </c>
      <c r="AB2" s="194">
        <v>8</v>
      </c>
      <c r="AC2" s="194">
        <v>9</v>
      </c>
      <c r="AD2" s="194">
        <v>10</v>
      </c>
      <c r="AE2" s="194">
        <v>11</v>
      </c>
      <c r="AF2" s="194">
        <v>12</v>
      </c>
      <c r="AG2" s="31">
        <v>1</v>
      </c>
      <c r="AH2" s="41"/>
      <c r="AI2" s="37"/>
      <c r="AJ2" s="194">
        <v>2</v>
      </c>
      <c r="AK2" s="194">
        <v>3</v>
      </c>
      <c r="AL2" s="194">
        <v>4</v>
      </c>
      <c r="AM2" s="194">
        <v>5</v>
      </c>
      <c r="AN2" s="194">
        <v>6</v>
      </c>
      <c r="AO2" s="194">
        <v>7</v>
      </c>
      <c r="AP2" s="194">
        <v>8</v>
      </c>
      <c r="AQ2" s="194">
        <v>9</v>
      </c>
      <c r="AR2" s="194">
        <v>10</v>
      </c>
      <c r="AS2" s="194">
        <v>11</v>
      </c>
      <c r="AT2" s="194">
        <v>12</v>
      </c>
      <c r="AU2" s="194">
        <v>1</v>
      </c>
      <c r="AV2" s="201"/>
      <c r="AW2" s="37"/>
      <c r="AX2" s="194">
        <v>2</v>
      </c>
      <c r="AY2" s="194">
        <v>3</v>
      </c>
      <c r="AZ2" s="194">
        <v>4</v>
      </c>
      <c r="BA2" s="194">
        <v>5</v>
      </c>
      <c r="BB2" s="194">
        <v>6</v>
      </c>
      <c r="BC2" s="194">
        <v>7</v>
      </c>
      <c r="BD2" s="194">
        <v>8</v>
      </c>
      <c r="BE2" s="194">
        <v>9</v>
      </c>
      <c r="BF2" s="194">
        <v>10</v>
      </c>
      <c r="BG2" s="194">
        <v>11</v>
      </c>
      <c r="BH2" s="194">
        <v>12</v>
      </c>
      <c r="BI2" s="194">
        <v>1</v>
      </c>
      <c r="BJ2" s="264"/>
      <c r="BK2" s="194"/>
      <c r="BL2" s="194">
        <v>2</v>
      </c>
      <c r="BM2" s="194">
        <v>3</v>
      </c>
      <c r="BN2" s="194">
        <v>4</v>
      </c>
      <c r="BO2" s="194">
        <v>5</v>
      </c>
      <c r="BP2" s="194">
        <v>6</v>
      </c>
      <c r="BQ2" s="194">
        <v>7</v>
      </c>
      <c r="BR2" s="194">
        <v>8</v>
      </c>
      <c r="BS2" s="194">
        <v>9</v>
      </c>
      <c r="BT2" s="194">
        <v>10</v>
      </c>
      <c r="BU2" s="194">
        <v>11</v>
      </c>
      <c r="BV2" s="194">
        <v>12</v>
      </c>
      <c r="BW2" s="194">
        <v>1</v>
      </c>
      <c r="BX2" s="265"/>
      <c r="BY2" s="30">
        <v>2</v>
      </c>
      <c r="BZ2" s="30">
        <v>3</v>
      </c>
      <c r="CA2" s="30">
        <v>4</v>
      </c>
      <c r="CB2" s="30">
        <v>5</v>
      </c>
      <c r="CC2" s="30">
        <v>6</v>
      </c>
      <c r="CD2" s="30">
        <v>7</v>
      </c>
      <c r="CE2" s="30">
        <v>8</v>
      </c>
      <c r="CF2" s="30">
        <v>9</v>
      </c>
      <c r="CG2" s="30">
        <v>10</v>
      </c>
      <c r="CH2" s="30">
        <v>11</v>
      </c>
      <c r="CI2" s="30">
        <v>12</v>
      </c>
      <c r="CJ2" s="30">
        <v>1</v>
      </c>
      <c r="CK2" s="265"/>
      <c r="CL2" s="30">
        <v>2</v>
      </c>
      <c r="CM2" s="30">
        <v>3</v>
      </c>
      <c r="CN2" s="30">
        <v>4</v>
      </c>
      <c r="CO2" s="30">
        <v>5</v>
      </c>
      <c r="CP2" s="30">
        <v>6</v>
      </c>
      <c r="CQ2" s="30">
        <v>7</v>
      </c>
      <c r="CR2" s="30">
        <v>8</v>
      </c>
      <c r="CS2" s="30">
        <v>9</v>
      </c>
      <c r="CT2" s="30">
        <v>10</v>
      </c>
      <c r="CU2" s="30">
        <v>11</v>
      </c>
      <c r="CV2" s="30">
        <v>12</v>
      </c>
      <c r="CW2" s="30">
        <v>1</v>
      </c>
      <c r="CX2" s="265"/>
      <c r="CY2" s="998"/>
    </row>
    <row r="3" spans="1:106" ht="14.5" x14ac:dyDescent="0.4">
      <c r="B3" s="267" t="s">
        <v>494</v>
      </c>
      <c r="C3" s="267"/>
      <c r="D3" s="267"/>
      <c r="E3" s="267"/>
      <c r="F3" s="268"/>
      <c r="G3" s="269"/>
      <c r="H3" s="268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70"/>
      <c r="U3" s="139"/>
      <c r="V3" s="267"/>
      <c r="W3" s="268"/>
      <c r="X3" s="267"/>
      <c r="Y3" s="267"/>
      <c r="Z3" s="267"/>
      <c r="AA3" s="267"/>
      <c r="AB3" s="267"/>
      <c r="AC3" s="267"/>
      <c r="AD3" s="267"/>
      <c r="AE3" s="267"/>
      <c r="AF3" s="267"/>
      <c r="AG3" s="268"/>
      <c r="AH3" s="271"/>
      <c r="AI3" s="139"/>
      <c r="AJ3" s="267"/>
      <c r="AK3" s="267"/>
      <c r="AL3" s="267"/>
      <c r="AM3" s="267"/>
      <c r="AN3" s="267"/>
      <c r="AO3" s="267"/>
      <c r="AP3" s="267"/>
      <c r="AQ3" s="267"/>
      <c r="AR3" s="267"/>
      <c r="AS3" s="267"/>
      <c r="AT3" s="267"/>
      <c r="AU3" s="267"/>
      <c r="AV3" s="272"/>
      <c r="AW3" s="139"/>
      <c r="AX3" s="267"/>
      <c r="AY3" s="267"/>
      <c r="AZ3" s="267"/>
      <c r="BA3" s="267"/>
      <c r="BB3" s="267"/>
      <c r="BC3" s="267"/>
      <c r="BD3" s="267"/>
      <c r="BE3" s="267"/>
      <c r="BF3" s="267"/>
      <c r="BG3" s="267"/>
      <c r="BH3" s="267"/>
      <c r="BI3" s="267"/>
      <c r="BJ3" s="273"/>
      <c r="BK3" s="267"/>
      <c r="BL3" s="267"/>
      <c r="BM3" s="267"/>
      <c r="BN3" s="267"/>
      <c r="BO3" s="267"/>
      <c r="BP3" s="267"/>
      <c r="BQ3" s="267"/>
      <c r="BR3" s="267"/>
      <c r="BS3" s="267"/>
      <c r="BT3" s="267"/>
      <c r="BU3" s="267"/>
      <c r="BV3" s="267"/>
      <c r="BW3" s="267"/>
      <c r="BX3" s="274"/>
      <c r="CK3" s="274"/>
      <c r="CX3" s="274"/>
      <c r="CY3" s="998"/>
    </row>
    <row r="4" spans="1:106" ht="14.5" x14ac:dyDescent="0.4">
      <c r="A4" s="194">
        <v>3760</v>
      </c>
      <c r="C4" s="30" t="s">
        <v>495</v>
      </c>
      <c r="F4" s="275">
        <f>+Bil!D44</f>
        <v>423389</v>
      </c>
      <c r="G4" s="276"/>
      <c r="H4" s="277">
        <f>+F4+H5</f>
        <v>423389</v>
      </c>
      <c r="I4" s="278">
        <f t="shared" ref="I4:S4" si="0">+H4+I5</f>
        <v>431389</v>
      </c>
      <c r="J4" s="278">
        <f t="shared" si="0"/>
        <v>431389</v>
      </c>
      <c r="K4" s="278">
        <f t="shared" si="0"/>
        <v>431389</v>
      </c>
      <c r="L4" s="278">
        <f t="shared" si="0"/>
        <v>431389</v>
      </c>
      <c r="M4" s="278">
        <f t="shared" si="0"/>
        <v>430389</v>
      </c>
      <c r="N4" s="278">
        <f t="shared" si="0"/>
        <v>440389</v>
      </c>
      <c r="O4" s="278">
        <f t="shared" si="0"/>
        <v>448389</v>
      </c>
      <c r="P4" s="278">
        <f t="shared" si="0"/>
        <v>473489</v>
      </c>
      <c r="Q4" s="278">
        <f t="shared" si="0"/>
        <v>495289</v>
      </c>
      <c r="R4" s="278">
        <f t="shared" si="0"/>
        <v>497789</v>
      </c>
      <c r="S4" s="278">
        <f t="shared" si="0"/>
        <v>553289</v>
      </c>
      <c r="T4" s="279">
        <f>S4-F4</f>
        <v>129900</v>
      </c>
      <c r="U4" s="280"/>
      <c r="V4" s="278">
        <f>+S4+V5</f>
        <v>633088</v>
      </c>
      <c r="W4" s="278">
        <f t="shared" ref="W4:AG4" si="1">+V4+W5</f>
        <v>787188</v>
      </c>
      <c r="X4" s="278">
        <f t="shared" si="1"/>
        <v>848688</v>
      </c>
      <c r="Y4" s="278">
        <f t="shared" si="1"/>
        <v>853688</v>
      </c>
      <c r="Z4" s="278">
        <f t="shared" si="1"/>
        <v>853688</v>
      </c>
      <c r="AA4" s="278">
        <f t="shared" si="1"/>
        <v>853688</v>
      </c>
      <c r="AB4" s="278">
        <f t="shared" si="1"/>
        <v>853688</v>
      </c>
      <c r="AC4" s="278">
        <f t="shared" si="1"/>
        <v>903688</v>
      </c>
      <c r="AD4" s="278">
        <f t="shared" si="1"/>
        <v>903688</v>
      </c>
      <c r="AE4" s="278">
        <f t="shared" si="1"/>
        <v>903688</v>
      </c>
      <c r="AF4" s="278">
        <f t="shared" si="1"/>
        <v>903688</v>
      </c>
      <c r="AG4" s="278">
        <f t="shared" si="1"/>
        <v>903688</v>
      </c>
      <c r="AH4" s="281">
        <f>AG4-T4-F4</f>
        <v>350399</v>
      </c>
      <c r="AI4" s="280"/>
      <c r="AJ4" s="278">
        <f>883388+50000</f>
        <v>933388</v>
      </c>
      <c r="AK4" s="278">
        <f t="shared" ref="AK4:AU4" si="2">+AJ4+AK5</f>
        <v>933388</v>
      </c>
      <c r="AL4" s="278">
        <f t="shared" si="2"/>
        <v>883388</v>
      </c>
      <c r="AM4" s="278">
        <f t="shared" si="2"/>
        <v>983388</v>
      </c>
      <c r="AN4" s="278">
        <f t="shared" si="2"/>
        <v>1063388</v>
      </c>
      <c r="AO4" s="278">
        <f t="shared" si="2"/>
        <v>1113388</v>
      </c>
      <c r="AP4" s="278">
        <f t="shared" si="2"/>
        <v>1183388</v>
      </c>
      <c r="AQ4" s="278">
        <f t="shared" si="2"/>
        <v>1173388</v>
      </c>
      <c r="AR4" s="278">
        <f t="shared" si="2"/>
        <v>1163388</v>
      </c>
      <c r="AS4" s="278">
        <f t="shared" si="2"/>
        <v>1133388</v>
      </c>
      <c r="AT4" s="278">
        <f t="shared" si="2"/>
        <v>1103388</v>
      </c>
      <c r="AU4" s="278">
        <f t="shared" si="2"/>
        <v>1063388</v>
      </c>
      <c r="AV4" s="282">
        <f>AU4</f>
        <v>1063388</v>
      </c>
      <c r="AW4" s="280"/>
      <c r="AX4" s="278">
        <f>+AU4+AX5</f>
        <v>1054880.8959999999</v>
      </c>
      <c r="AY4" s="278">
        <f t="shared" ref="AY4:BI4" si="3">+AX4+AY5</f>
        <v>1046373.7919999999</v>
      </c>
      <c r="AZ4" s="278">
        <f t="shared" si="3"/>
        <v>1037866.6879999998</v>
      </c>
      <c r="BA4" s="278">
        <f t="shared" si="3"/>
        <v>1029359.5839999998</v>
      </c>
      <c r="BB4" s="278">
        <f t="shared" si="3"/>
        <v>1020852.4799999997</v>
      </c>
      <c r="BC4" s="278">
        <f t="shared" si="3"/>
        <v>1012345.3759999997</v>
      </c>
      <c r="BD4" s="278">
        <f t="shared" si="3"/>
        <v>1003838.2719999996</v>
      </c>
      <c r="BE4" s="278">
        <f t="shared" si="3"/>
        <v>995331.1679999996</v>
      </c>
      <c r="BF4" s="278">
        <f t="shared" si="3"/>
        <v>986824.06399999955</v>
      </c>
      <c r="BG4" s="278">
        <f t="shared" si="3"/>
        <v>978316.9599999995</v>
      </c>
      <c r="BH4" s="278">
        <f t="shared" si="3"/>
        <v>961302.75199999951</v>
      </c>
      <c r="BI4" s="278">
        <f t="shared" si="3"/>
        <v>944288.54399999953</v>
      </c>
      <c r="BJ4" s="283">
        <f>BI4</f>
        <v>944288.54399999953</v>
      </c>
      <c r="BK4" s="278"/>
      <c r="BL4" s="278">
        <f>+BI4+BL5</f>
        <v>934845.65855999955</v>
      </c>
      <c r="BM4" s="278">
        <f t="shared" ref="BM4:BY4" si="4">+BL4+BM5</f>
        <v>925402.77311999956</v>
      </c>
      <c r="BN4" s="278">
        <f t="shared" si="4"/>
        <v>915959.88767999958</v>
      </c>
      <c r="BO4" s="278">
        <f t="shared" si="4"/>
        <v>906517.00223999959</v>
      </c>
      <c r="BP4" s="278">
        <f t="shared" si="4"/>
        <v>897074.11679999961</v>
      </c>
      <c r="BQ4" s="278">
        <f>+BP4+BQ5</f>
        <v>887631.23135999963</v>
      </c>
      <c r="BR4" s="278">
        <f t="shared" si="4"/>
        <v>878188.34591999964</v>
      </c>
      <c r="BS4" s="278">
        <f t="shared" si="4"/>
        <v>868745.46047999966</v>
      </c>
      <c r="BT4" s="278">
        <f t="shared" si="4"/>
        <v>859302.57503999968</v>
      </c>
      <c r="BU4" s="278">
        <f t="shared" si="4"/>
        <v>849859.68959999969</v>
      </c>
      <c r="BV4" s="278">
        <f t="shared" si="4"/>
        <v>840416.80415999971</v>
      </c>
      <c r="BW4" s="278">
        <f t="shared" si="4"/>
        <v>830973.91871999972</v>
      </c>
      <c r="BX4" s="284">
        <f>BW4</f>
        <v>830973.91871999972</v>
      </c>
      <c r="BY4" s="278">
        <f t="shared" si="4"/>
        <v>818509.30993919971</v>
      </c>
      <c r="BZ4" s="278">
        <f t="shared" ref="BZ4" si="5">+BY4+BZ5</f>
        <v>806044.70115839969</v>
      </c>
      <c r="CA4" s="278">
        <f t="shared" ref="CA4" si="6">+BZ4+CA5</f>
        <v>793580.09237759968</v>
      </c>
      <c r="CB4" s="278">
        <f t="shared" ref="CB4" si="7">+CA4+CB5</f>
        <v>781115.48359679966</v>
      </c>
      <c r="CC4" s="278">
        <f t="shared" ref="CC4" si="8">+CB4+CC5</f>
        <v>768650.87481599965</v>
      </c>
      <c r="CD4" s="278">
        <f t="shared" ref="CD4" si="9">+CC4+CD5</f>
        <v>756186.26603519963</v>
      </c>
      <c r="CE4" s="278">
        <f t="shared" ref="CE4" si="10">+CD4+CE5</f>
        <v>743721.65725439962</v>
      </c>
      <c r="CF4" s="278">
        <f t="shared" ref="CF4" si="11">+CE4+CF5</f>
        <v>731257.0484735996</v>
      </c>
      <c r="CG4" s="278">
        <f t="shared" ref="CG4" si="12">+CF4+CG5</f>
        <v>718792.43969279958</v>
      </c>
      <c r="CH4" s="278">
        <f t="shared" ref="CH4" si="13">+CG4+CH5</f>
        <v>706327.83091199957</v>
      </c>
      <c r="CI4" s="278">
        <f t="shared" ref="CI4:CJ4" si="14">+CH4+CI5</f>
        <v>693863.22213119955</v>
      </c>
      <c r="CJ4" s="278">
        <f t="shared" si="14"/>
        <v>681398.61335039954</v>
      </c>
      <c r="CK4" s="284">
        <f>CI4</f>
        <v>693863.22213119955</v>
      </c>
      <c r="CL4" s="278">
        <f t="shared" ref="CL4" si="15">+CK4+CL5</f>
        <v>683229.34213119955</v>
      </c>
      <c r="CM4" s="278">
        <f t="shared" ref="CM4" si="16">+CL4+CM5</f>
        <v>672595.46213119954</v>
      </c>
      <c r="CN4" s="278">
        <f t="shared" ref="CN4" si="17">+CM4+CN5</f>
        <v>661961.58213119954</v>
      </c>
      <c r="CO4" s="278">
        <f t="shared" ref="CO4" si="18">+CN4+CO5</f>
        <v>651327.70213119953</v>
      </c>
      <c r="CP4" s="278">
        <f t="shared" ref="CP4" si="19">+CO4+CP5</f>
        <v>640693.82213119953</v>
      </c>
      <c r="CQ4" s="278">
        <f t="shared" ref="CQ4" si="20">+CP4+CQ5</f>
        <v>630059.94213119952</v>
      </c>
      <c r="CR4" s="278">
        <f t="shared" ref="CR4" si="21">+CQ4+CR5</f>
        <v>619426.06213119952</v>
      </c>
      <c r="CS4" s="278">
        <f t="shared" ref="CS4" si="22">+CR4+CS5</f>
        <v>608792.18213119952</v>
      </c>
      <c r="CT4" s="278">
        <f t="shared" ref="CT4" si="23">+CS4+CT5</f>
        <v>598158.30213119951</v>
      </c>
      <c r="CU4" s="278">
        <f t="shared" ref="CU4" si="24">+CT4+CU5</f>
        <v>587524.42213119951</v>
      </c>
      <c r="CV4" s="278">
        <f t="shared" ref="CV4" si="25">+CU4+CV5</f>
        <v>576890.5421311995</v>
      </c>
      <c r="CW4" s="278">
        <f t="shared" ref="CW4" si="26">+CV4+CW5</f>
        <v>566256.6621311995</v>
      </c>
      <c r="CX4" s="284">
        <f>CV4</f>
        <v>576890.5421311995</v>
      </c>
      <c r="CY4" s="1000"/>
    </row>
    <row r="5" spans="1:106" ht="14.5" x14ac:dyDescent="0.4">
      <c r="C5" s="30" t="s">
        <v>496</v>
      </c>
      <c r="F5" s="136"/>
      <c r="G5" s="276"/>
      <c r="H5" s="285">
        <v>0</v>
      </c>
      <c r="I5" s="285">
        <v>8000</v>
      </c>
      <c r="J5" s="285">
        <v>0</v>
      </c>
      <c r="K5" s="285">
        <v>0</v>
      </c>
      <c r="L5" s="285">
        <v>0</v>
      </c>
      <c r="M5" s="285">
        <f>6000-7000</f>
        <v>-1000</v>
      </c>
      <c r="N5" s="285">
        <v>10000</v>
      </c>
      <c r="O5" s="285">
        <v>8000</v>
      </c>
      <c r="P5" s="285">
        <v>25100</v>
      </c>
      <c r="Q5" s="285">
        <v>21800</v>
      </c>
      <c r="R5" s="285">
        <f>4500-2000</f>
        <v>2500</v>
      </c>
      <c r="S5" s="285">
        <f>56000-500</f>
        <v>55500</v>
      </c>
      <c r="T5" s="279">
        <f>SUM(H5:S5)</f>
        <v>129900</v>
      </c>
      <c r="U5" s="280"/>
      <c r="V5" s="285">
        <f>80499-700</f>
        <v>79799</v>
      </c>
      <c r="W5" s="286">
        <f>158100-4000</f>
        <v>154100</v>
      </c>
      <c r="X5" s="285">
        <v>61500</v>
      </c>
      <c r="Y5" s="285">
        <v>5000</v>
      </c>
      <c r="Z5" s="278"/>
      <c r="AA5" s="278"/>
      <c r="AB5" s="287"/>
      <c r="AC5" s="287">
        <v>50000</v>
      </c>
      <c r="AD5" s="278"/>
      <c r="AE5" s="278"/>
      <c r="AF5" s="278"/>
      <c r="AG5" s="277"/>
      <c r="AH5" s="281">
        <f>SUM(V5:AG5)</f>
        <v>350399</v>
      </c>
      <c r="AI5" s="280"/>
      <c r="AJ5" s="278"/>
      <c r="AK5" s="278"/>
      <c r="AL5" s="278">
        <v>-50000</v>
      </c>
      <c r="AM5" s="278">
        <v>100000</v>
      </c>
      <c r="AN5" s="278">
        <v>80000</v>
      </c>
      <c r="AO5" s="278">
        <v>50000</v>
      </c>
      <c r="AP5" s="278">
        <v>70000</v>
      </c>
      <c r="AQ5" s="278">
        <v>-10000</v>
      </c>
      <c r="AR5" s="278">
        <v>-10000</v>
      </c>
      <c r="AS5" s="278">
        <v>-30000</v>
      </c>
      <c r="AT5" s="278">
        <v>-30000</v>
      </c>
      <c r="AU5" s="278">
        <v>-40000</v>
      </c>
      <c r="AV5" s="282">
        <f>SUM(AJ5:AU5)</f>
        <v>130000</v>
      </c>
      <c r="AW5" s="280"/>
      <c r="AX5" s="278">
        <f>-$AV4*0.8%</f>
        <v>-8507.1039999999994</v>
      </c>
      <c r="AY5" s="278">
        <f t="shared" ref="AY5:BI5" si="27">AX5</f>
        <v>-8507.1039999999994</v>
      </c>
      <c r="AZ5" s="278">
        <f t="shared" si="27"/>
        <v>-8507.1039999999994</v>
      </c>
      <c r="BA5" s="278">
        <f t="shared" si="27"/>
        <v>-8507.1039999999994</v>
      </c>
      <c r="BB5" s="278">
        <f t="shared" si="27"/>
        <v>-8507.1039999999994</v>
      </c>
      <c r="BC5" s="278">
        <f t="shared" si="27"/>
        <v>-8507.1039999999994</v>
      </c>
      <c r="BD5" s="278">
        <f t="shared" si="27"/>
        <v>-8507.1039999999994</v>
      </c>
      <c r="BE5" s="278">
        <f t="shared" si="27"/>
        <v>-8507.1039999999994</v>
      </c>
      <c r="BF5" s="278">
        <f t="shared" si="27"/>
        <v>-8507.1039999999994</v>
      </c>
      <c r="BG5" s="278">
        <f>BF5</f>
        <v>-8507.1039999999994</v>
      </c>
      <c r="BH5" s="278">
        <f>BG5*2</f>
        <v>-17014.207999999999</v>
      </c>
      <c r="BI5" s="278">
        <f t="shared" si="27"/>
        <v>-17014.207999999999</v>
      </c>
      <c r="BJ5" s="283">
        <f>SUM(AX5:BI5)</f>
        <v>-119099.45599999998</v>
      </c>
      <c r="BK5" s="278"/>
      <c r="BL5" s="278">
        <f>-$BJ4*1%</f>
        <v>-9442.8854399999964</v>
      </c>
      <c r="BM5" s="278">
        <f t="shared" ref="BM5:BW5" si="28">-$BJ4*1%</f>
        <v>-9442.8854399999964</v>
      </c>
      <c r="BN5" s="278">
        <f t="shared" si="28"/>
        <v>-9442.8854399999964</v>
      </c>
      <c r="BO5" s="278">
        <f t="shared" si="28"/>
        <v>-9442.8854399999964</v>
      </c>
      <c r="BP5" s="278">
        <f t="shared" si="28"/>
        <v>-9442.8854399999964</v>
      </c>
      <c r="BQ5" s="278">
        <f t="shared" si="28"/>
        <v>-9442.8854399999964</v>
      </c>
      <c r="BR5" s="278">
        <f t="shared" si="28"/>
        <v>-9442.8854399999964</v>
      </c>
      <c r="BS5" s="278">
        <f t="shared" si="28"/>
        <v>-9442.8854399999964</v>
      </c>
      <c r="BT5" s="278">
        <f t="shared" si="28"/>
        <v>-9442.8854399999964</v>
      </c>
      <c r="BU5" s="278">
        <f t="shared" si="28"/>
        <v>-9442.8854399999964</v>
      </c>
      <c r="BV5" s="278">
        <f t="shared" si="28"/>
        <v>-9442.8854399999964</v>
      </c>
      <c r="BW5" s="278">
        <f t="shared" si="28"/>
        <v>-9442.8854399999964</v>
      </c>
      <c r="BX5" s="284">
        <f>SUM(BL5:BW5)</f>
        <v>-113314.62527999996</v>
      </c>
      <c r="BY5" s="278">
        <f>-$BX4*1.5%</f>
        <v>-12464.608780799996</v>
      </c>
      <c r="BZ5" s="278">
        <f>BY5</f>
        <v>-12464.608780799996</v>
      </c>
      <c r="CA5" s="278">
        <f t="shared" ref="CA5:CJ5" si="29">BZ5</f>
        <v>-12464.608780799996</v>
      </c>
      <c r="CB5" s="278">
        <f t="shared" si="29"/>
        <v>-12464.608780799996</v>
      </c>
      <c r="CC5" s="278">
        <f t="shared" si="29"/>
        <v>-12464.608780799996</v>
      </c>
      <c r="CD5" s="278">
        <f t="shared" si="29"/>
        <v>-12464.608780799996</v>
      </c>
      <c r="CE5" s="278">
        <f t="shared" si="29"/>
        <v>-12464.608780799996</v>
      </c>
      <c r="CF5" s="278">
        <f t="shared" si="29"/>
        <v>-12464.608780799996</v>
      </c>
      <c r="CG5" s="278">
        <f t="shared" si="29"/>
        <v>-12464.608780799996</v>
      </c>
      <c r="CH5" s="278">
        <f t="shared" si="29"/>
        <v>-12464.608780799996</v>
      </c>
      <c r="CI5" s="278">
        <f t="shared" si="29"/>
        <v>-12464.608780799996</v>
      </c>
      <c r="CJ5" s="278">
        <f t="shared" si="29"/>
        <v>-12464.608780799996</v>
      </c>
      <c r="CK5" s="284">
        <f>SUM(BY5:CJ5)</f>
        <v>-149575.30536959996</v>
      </c>
      <c r="CL5" s="278">
        <f t="shared" ref="CL5:CW5" si="30">-$AU4*1%</f>
        <v>-10633.880000000001</v>
      </c>
      <c r="CM5" s="278">
        <f t="shared" si="30"/>
        <v>-10633.880000000001</v>
      </c>
      <c r="CN5" s="278">
        <f t="shared" si="30"/>
        <v>-10633.880000000001</v>
      </c>
      <c r="CO5" s="278">
        <f t="shared" si="30"/>
        <v>-10633.880000000001</v>
      </c>
      <c r="CP5" s="278">
        <f t="shared" si="30"/>
        <v>-10633.880000000001</v>
      </c>
      <c r="CQ5" s="278">
        <f t="shared" si="30"/>
        <v>-10633.880000000001</v>
      </c>
      <c r="CR5" s="278">
        <f t="shared" si="30"/>
        <v>-10633.880000000001</v>
      </c>
      <c r="CS5" s="278">
        <f t="shared" si="30"/>
        <v>-10633.880000000001</v>
      </c>
      <c r="CT5" s="278">
        <f t="shared" si="30"/>
        <v>-10633.880000000001</v>
      </c>
      <c r="CU5" s="278">
        <f t="shared" si="30"/>
        <v>-10633.880000000001</v>
      </c>
      <c r="CV5" s="278">
        <f t="shared" si="30"/>
        <v>-10633.880000000001</v>
      </c>
      <c r="CW5" s="278">
        <f t="shared" si="30"/>
        <v>-10633.880000000001</v>
      </c>
      <c r="CX5" s="284">
        <f>SUM(CL5:CW5)</f>
        <v>-127606.56000000004</v>
      </c>
      <c r="CY5" s="1000"/>
    </row>
    <row r="6" spans="1:106" s="295" customFormat="1" ht="14.5" x14ac:dyDescent="0.4">
      <c r="A6" s="288">
        <v>8320</v>
      </c>
      <c r="B6" s="289"/>
      <c r="C6" s="289" t="s">
        <v>224</v>
      </c>
      <c r="D6" s="289"/>
      <c r="E6" s="290">
        <v>2.5000000000000001E-2</v>
      </c>
      <c r="F6" s="291"/>
      <c r="G6" s="291"/>
      <c r="H6" s="292">
        <f t="shared" ref="H6:S6" si="31">$E6*H4/12</f>
        <v>882.0604166666667</v>
      </c>
      <c r="I6" s="292">
        <f t="shared" si="31"/>
        <v>898.72708333333333</v>
      </c>
      <c r="J6" s="292">
        <f t="shared" si="31"/>
        <v>898.72708333333333</v>
      </c>
      <c r="K6" s="292">
        <f t="shared" si="31"/>
        <v>898.72708333333333</v>
      </c>
      <c r="L6" s="292">
        <f t="shared" si="31"/>
        <v>898.72708333333333</v>
      </c>
      <c r="M6" s="292">
        <f t="shared" si="31"/>
        <v>896.64375000000007</v>
      </c>
      <c r="N6" s="292">
        <f t="shared" si="31"/>
        <v>917.47708333333333</v>
      </c>
      <c r="O6" s="292">
        <f t="shared" si="31"/>
        <v>934.14375000000007</v>
      </c>
      <c r="P6" s="292">
        <f t="shared" si="31"/>
        <v>986.4354166666667</v>
      </c>
      <c r="Q6" s="292">
        <f t="shared" si="31"/>
        <v>1031.8520833333334</v>
      </c>
      <c r="R6" s="292">
        <f t="shared" si="31"/>
        <v>1037.0604166666667</v>
      </c>
      <c r="S6" s="292">
        <f t="shared" si="31"/>
        <v>1152.6854166666667</v>
      </c>
      <c r="T6" s="293">
        <f>SUM(H6:S6)</f>
        <v>11433.266666666668</v>
      </c>
      <c r="U6" s="293"/>
      <c r="V6" s="292">
        <f>$E6*V4/12</f>
        <v>1318.9333333333334</v>
      </c>
      <c r="W6" s="292">
        <f>$E6*W4/12</f>
        <v>1639.9750000000001</v>
      </c>
      <c r="X6" s="292">
        <f>$E6*X4/12</f>
        <v>1768.1000000000001</v>
      </c>
      <c r="Y6" s="294">
        <f t="shared" ref="Y6:AG6" si="32">Y4*$E6/12</f>
        <v>1778.5166666666667</v>
      </c>
      <c r="Z6" s="294">
        <f t="shared" si="32"/>
        <v>1778.5166666666667</v>
      </c>
      <c r="AA6" s="294">
        <f t="shared" si="32"/>
        <v>1778.5166666666667</v>
      </c>
      <c r="AB6" s="294">
        <f t="shared" si="32"/>
        <v>1778.5166666666667</v>
      </c>
      <c r="AC6" s="294">
        <f t="shared" si="32"/>
        <v>1882.6833333333334</v>
      </c>
      <c r="AD6" s="294">
        <f t="shared" si="32"/>
        <v>1882.6833333333334</v>
      </c>
      <c r="AE6" s="294">
        <f t="shared" si="32"/>
        <v>1882.6833333333334</v>
      </c>
      <c r="AF6" s="294">
        <f t="shared" si="32"/>
        <v>1882.6833333333334</v>
      </c>
      <c r="AG6" s="294">
        <f t="shared" si="32"/>
        <v>1882.6833333333334</v>
      </c>
      <c r="AH6" s="293">
        <f>SUM(V6:AG6)</f>
        <v>21254.491666666672</v>
      </c>
      <c r="AI6" s="293"/>
      <c r="AJ6" s="294">
        <f t="shared" ref="AJ6:AU6" si="33">AJ4*$E6/12</f>
        <v>1944.5583333333334</v>
      </c>
      <c r="AK6" s="294">
        <f t="shared" si="33"/>
        <v>1944.5583333333334</v>
      </c>
      <c r="AL6" s="294">
        <f t="shared" si="33"/>
        <v>1840.3916666666667</v>
      </c>
      <c r="AM6" s="294">
        <f t="shared" si="33"/>
        <v>2048.7249999999999</v>
      </c>
      <c r="AN6" s="294">
        <f t="shared" si="33"/>
        <v>2215.3916666666669</v>
      </c>
      <c r="AO6" s="294">
        <f t="shared" si="33"/>
        <v>2319.5583333333334</v>
      </c>
      <c r="AP6" s="294">
        <f t="shared" si="33"/>
        <v>2465.3916666666669</v>
      </c>
      <c r="AQ6" s="294">
        <f t="shared" si="33"/>
        <v>2444.5583333333334</v>
      </c>
      <c r="AR6" s="294">
        <f t="shared" si="33"/>
        <v>2423.7249999999999</v>
      </c>
      <c r="AS6" s="294">
        <f t="shared" si="33"/>
        <v>2361.2249999999999</v>
      </c>
      <c r="AT6" s="294">
        <f t="shared" si="33"/>
        <v>2298.7249999999999</v>
      </c>
      <c r="AU6" s="294">
        <f t="shared" si="33"/>
        <v>2215.3916666666669</v>
      </c>
      <c r="AV6" s="293">
        <f>SUM(AJ6:AU6)</f>
        <v>26522.199999999997</v>
      </c>
      <c r="AW6" s="293"/>
      <c r="AX6" s="294">
        <f t="shared" ref="AX6:BI6" si="34">AX4*$E6/12</f>
        <v>2197.6685333333335</v>
      </c>
      <c r="AY6" s="294">
        <f t="shared" si="34"/>
        <v>2179.9454000000001</v>
      </c>
      <c r="AZ6" s="294">
        <f t="shared" si="34"/>
        <v>2162.2222666666662</v>
      </c>
      <c r="BA6" s="294">
        <f t="shared" si="34"/>
        <v>2144.4991333333332</v>
      </c>
      <c r="BB6" s="294">
        <f t="shared" si="34"/>
        <v>2126.7759999999994</v>
      </c>
      <c r="BC6" s="294">
        <f t="shared" si="34"/>
        <v>2109.0528666666664</v>
      </c>
      <c r="BD6" s="294">
        <f t="shared" si="34"/>
        <v>2091.3297333333326</v>
      </c>
      <c r="BE6" s="294">
        <f t="shared" si="34"/>
        <v>2073.6065999999992</v>
      </c>
      <c r="BF6" s="294">
        <f t="shared" si="34"/>
        <v>2055.8834666666658</v>
      </c>
      <c r="BG6" s="294">
        <f t="shared" si="34"/>
        <v>2038.1603333333323</v>
      </c>
      <c r="BH6" s="294">
        <f t="shared" si="34"/>
        <v>2002.7140666666658</v>
      </c>
      <c r="BI6" s="294">
        <f t="shared" si="34"/>
        <v>1967.2677999999989</v>
      </c>
      <c r="BJ6" s="293">
        <f>SUM(AX6:BI6)</f>
        <v>25149.126199999995</v>
      </c>
      <c r="BK6" s="294"/>
      <c r="BL6" s="294">
        <f t="shared" ref="BL6:CJ6" si="35">BL4*$E6/12</f>
        <v>1947.595121999999</v>
      </c>
      <c r="BM6" s="294">
        <f t="shared" si="35"/>
        <v>1927.9224439999991</v>
      </c>
      <c r="BN6" s="294">
        <f t="shared" si="35"/>
        <v>1908.2497659999992</v>
      </c>
      <c r="BO6" s="294">
        <f t="shared" si="35"/>
        <v>1888.5770879999993</v>
      </c>
      <c r="BP6" s="294">
        <f t="shared" si="35"/>
        <v>1868.9044099999992</v>
      </c>
      <c r="BQ6" s="294">
        <f t="shared" si="35"/>
        <v>1849.2317319999993</v>
      </c>
      <c r="BR6" s="294">
        <f t="shared" si="35"/>
        <v>1829.5590539999994</v>
      </c>
      <c r="BS6" s="294">
        <f t="shared" si="35"/>
        <v>1809.8863759999995</v>
      </c>
      <c r="BT6" s="294">
        <f t="shared" si="35"/>
        <v>1790.2136979999996</v>
      </c>
      <c r="BU6" s="294">
        <f t="shared" si="35"/>
        <v>1770.5410199999994</v>
      </c>
      <c r="BV6" s="294">
        <f t="shared" si="35"/>
        <v>1750.8683419999995</v>
      </c>
      <c r="BW6" s="294">
        <f t="shared" si="35"/>
        <v>1731.1956639999996</v>
      </c>
      <c r="BX6" s="293">
        <f>SUM(BL6:BW6)</f>
        <v>22072.744715999994</v>
      </c>
      <c r="BY6" s="294">
        <f t="shared" si="35"/>
        <v>1705.2277290399995</v>
      </c>
      <c r="BZ6" s="294">
        <f t="shared" si="35"/>
        <v>1679.2597940799994</v>
      </c>
      <c r="CA6" s="294">
        <f t="shared" si="35"/>
        <v>1653.2918591199996</v>
      </c>
      <c r="CB6" s="294">
        <f t="shared" si="35"/>
        <v>1627.3239241599995</v>
      </c>
      <c r="CC6" s="294">
        <f t="shared" si="35"/>
        <v>1601.3559891999994</v>
      </c>
      <c r="CD6" s="294">
        <f t="shared" si="35"/>
        <v>1575.3880542399993</v>
      </c>
      <c r="CE6" s="294">
        <f t="shared" si="35"/>
        <v>1549.4201192799992</v>
      </c>
      <c r="CF6" s="294">
        <f t="shared" si="35"/>
        <v>1523.4521843199991</v>
      </c>
      <c r="CG6" s="294">
        <f t="shared" si="35"/>
        <v>1497.4842493599992</v>
      </c>
      <c r="CH6" s="294">
        <f t="shared" si="35"/>
        <v>1471.5163143999991</v>
      </c>
      <c r="CI6" s="294">
        <f t="shared" si="35"/>
        <v>1445.5483794399991</v>
      </c>
      <c r="CJ6" s="294">
        <f t="shared" si="35"/>
        <v>1419.580444479999</v>
      </c>
      <c r="CK6" s="997">
        <f>SUM(BY6:CJ6)</f>
        <v>18748.849041119993</v>
      </c>
      <c r="CL6" s="294">
        <f t="shared" ref="CL6:CW6" si="36">CL4*$E6/12</f>
        <v>1423.3944627733324</v>
      </c>
      <c r="CM6" s="294">
        <f t="shared" si="36"/>
        <v>1401.2405461066658</v>
      </c>
      <c r="CN6" s="294">
        <f t="shared" si="36"/>
        <v>1379.0866294399991</v>
      </c>
      <c r="CO6" s="294">
        <f t="shared" si="36"/>
        <v>1356.9327127733325</v>
      </c>
      <c r="CP6" s="294">
        <f t="shared" si="36"/>
        <v>1334.7787961066658</v>
      </c>
      <c r="CQ6" s="294">
        <f t="shared" si="36"/>
        <v>1312.6248794399992</v>
      </c>
      <c r="CR6" s="294">
        <f t="shared" si="36"/>
        <v>1290.4709627733325</v>
      </c>
      <c r="CS6" s="294">
        <f t="shared" si="36"/>
        <v>1268.3170461066657</v>
      </c>
      <c r="CT6" s="294">
        <f t="shared" si="36"/>
        <v>1246.163129439999</v>
      </c>
      <c r="CU6" s="294">
        <f t="shared" si="36"/>
        <v>1224.0092127733324</v>
      </c>
      <c r="CV6" s="294">
        <f t="shared" si="36"/>
        <v>1201.8552961066657</v>
      </c>
      <c r="CW6" s="294">
        <f t="shared" si="36"/>
        <v>1179.7013794399991</v>
      </c>
      <c r="CX6" s="997">
        <f>SUM(CL6:CW6)</f>
        <v>15618.57505327999</v>
      </c>
      <c r="CY6" s="1001"/>
      <c r="CZ6" s="1002"/>
      <c r="DA6" s="1002"/>
      <c r="DB6" s="1002"/>
    </row>
    <row r="7" spans="1:106" ht="14.5" x14ac:dyDescent="0.4">
      <c r="G7" s="266"/>
      <c r="H7" s="277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9"/>
      <c r="U7" s="280"/>
      <c r="V7" s="278"/>
      <c r="W7" s="277"/>
      <c r="X7" s="278"/>
      <c r="Y7" s="278"/>
      <c r="Z7" s="278"/>
      <c r="AA7" s="278"/>
      <c r="AB7" s="278"/>
      <c r="AC7" s="278"/>
      <c r="AD7" s="278"/>
      <c r="AE7" s="278"/>
      <c r="AF7" s="278"/>
      <c r="AG7" s="277"/>
      <c r="AH7" s="281"/>
      <c r="AI7" s="280"/>
      <c r="AJ7" s="278"/>
      <c r="AK7" s="278"/>
      <c r="AL7" s="278"/>
      <c r="AM7" s="278"/>
      <c r="AN7" s="278"/>
      <c r="AO7" s="278"/>
      <c r="AP7" s="278"/>
      <c r="AQ7" s="278"/>
      <c r="AR7" s="278"/>
      <c r="AS7" s="278"/>
      <c r="AT7" s="278"/>
      <c r="AU7" s="278"/>
      <c r="AV7" s="282"/>
      <c r="AW7" s="280"/>
      <c r="AX7" s="278"/>
      <c r="AY7" s="278"/>
      <c r="AZ7" s="278"/>
      <c r="BA7" s="278"/>
      <c r="BB7" s="278"/>
      <c r="BC7" s="278"/>
      <c r="BD7" s="278"/>
      <c r="BE7" s="278"/>
      <c r="BF7" s="278"/>
      <c r="BG7" s="278"/>
      <c r="BH7" s="278"/>
      <c r="BI7" s="278"/>
      <c r="BJ7" s="283"/>
      <c r="BK7" s="278"/>
      <c r="BL7" s="278"/>
      <c r="BM7" s="278"/>
      <c r="BN7" s="278"/>
      <c r="BO7" s="278"/>
      <c r="BP7" s="278"/>
      <c r="BQ7" s="278"/>
      <c r="BR7" s="278"/>
      <c r="BS7" s="278"/>
      <c r="BT7" s="278"/>
      <c r="BU7" s="278"/>
      <c r="BV7" s="278"/>
      <c r="BW7" s="278"/>
      <c r="BX7" s="284"/>
      <c r="CK7" s="284"/>
      <c r="CX7" s="284"/>
      <c r="CY7" s="1000"/>
    </row>
    <row r="8" spans="1:106" ht="14.5" x14ac:dyDescent="0.4">
      <c r="B8" s="267" t="s">
        <v>497</v>
      </c>
      <c r="C8" s="267"/>
      <c r="D8" s="267"/>
      <c r="E8" s="275">
        <v>50000</v>
      </c>
      <c r="F8" s="268"/>
      <c r="G8" s="269"/>
      <c r="H8" s="296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8"/>
      <c r="U8" s="299"/>
      <c r="V8" s="297"/>
      <c r="W8" s="296"/>
      <c r="X8" s="297"/>
      <c r="Y8" s="297"/>
      <c r="Z8" s="297"/>
      <c r="AA8" s="297"/>
      <c r="AB8" s="297"/>
      <c r="AC8" s="297"/>
      <c r="AD8" s="297"/>
      <c r="AE8" s="297"/>
      <c r="AF8" s="297"/>
      <c r="AG8" s="296"/>
      <c r="AH8" s="300"/>
      <c r="AI8" s="299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301"/>
      <c r="AW8" s="299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302"/>
      <c r="BK8" s="297"/>
      <c r="BL8" s="297"/>
      <c r="BM8" s="297"/>
      <c r="BN8" s="297"/>
      <c r="BO8" s="297"/>
      <c r="BP8" s="297"/>
      <c r="BQ8" s="297"/>
      <c r="BR8" s="297"/>
      <c r="BS8" s="297"/>
      <c r="BT8" s="297"/>
      <c r="BU8" s="297"/>
      <c r="BV8" s="297"/>
      <c r="BW8" s="297"/>
      <c r="BX8" s="303"/>
      <c r="CK8" s="303"/>
      <c r="CX8" s="303"/>
      <c r="CY8" s="1000"/>
      <c r="DB8" s="1003"/>
    </row>
    <row r="9" spans="1:106" ht="14.5" x14ac:dyDescent="0.4">
      <c r="C9" s="30" t="s">
        <v>498</v>
      </c>
      <c r="G9" s="266"/>
      <c r="H9" s="304"/>
      <c r="I9" s="305"/>
      <c r="J9" s="305"/>
      <c r="K9" s="305"/>
      <c r="L9" s="305"/>
      <c r="M9" s="305"/>
      <c r="N9" s="305"/>
      <c r="O9" s="305"/>
      <c r="P9" s="305"/>
      <c r="Q9" s="305"/>
      <c r="R9" s="305"/>
      <c r="S9" s="305"/>
      <c r="T9" s="306"/>
      <c r="U9" s="307"/>
      <c r="V9" s="305"/>
      <c r="W9" s="305"/>
      <c r="X9" s="305"/>
      <c r="Y9" s="305"/>
      <c r="Z9" s="305"/>
      <c r="AA9" s="305"/>
      <c r="AB9" s="305"/>
      <c r="AC9" s="305"/>
      <c r="AD9" s="305"/>
      <c r="AE9" s="305"/>
      <c r="AF9" s="305"/>
      <c r="AG9" s="305"/>
      <c r="AH9" s="308"/>
      <c r="AI9" s="307"/>
      <c r="AJ9" s="305"/>
      <c r="AK9" s="305"/>
      <c r="AL9" s="305"/>
      <c r="AM9" s="305"/>
      <c r="AN9" s="305"/>
      <c r="AO9" s="305"/>
      <c r="AP9" s="305"/>
      <c r="AQ9" s="305"/>
      <c r="AR9" s="305"/>
      <c r="AS9" s="305"/>
      <c r="AT9" s="305"/>
      <c r="AU9" s="305"/>
      <c r="AV9" s="309"/>
      <c r="AW9" s="307"/>
      <c r="AX9" s="305"/>
      <c r="AY9" s="305"/>
      <c r="AZ9" s="305"/>
      <c r="BA9" s="305"/>
      <c r="BB9" s="305"/>
      <c r="BC9" s="305"/>
      <c r="BD9" s="305"/>
      <c r="BE9" s="305"/>
      <c r="BF9" s="305"/>
      <c r="BG9" s="305"/>
      <c r="BH9" s="305"/>
      <c r="BI9" s="305"/>
      <c r="BJ9" s="310"/>
      <c r="BK9" s="305"/>
      <c r="BL9" s="305"/>
      <c r="BM9" s="305"/>
      <c r="BN9" s="305"/>
      <c r="BO9" s="305"/>
      <c r="BP9" s="305"/>
      <c r="BQ9" s="305"/>
      <c r="BR9" s="305"/>
      <c r="BS9" s="305"/>
      <c r="BT9" s="305"/>
      <c r="BU9" s="305"/>
      <c r="BV9" s="305"/>
      <c r="BW9" s="305"/>
      <c r="BX9" s="311"/>
      <c r="CK9" s="311"/>
      <c r="CX9" s="311"/>
      <c r="CY9" s="1000"/>
    </row>
    <row r="10" spans="1:106" ht="14.5" x14ac:dyDescent="0.4">
      <c r="C10" s="30" t="s">
        <v>499</v>
      </c>
      <c r="E10" s="312">
        <v>0</v>
      </c>
      <c r="G10" s="266"/>
      <c r="H10" s="277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9"/>
      <c r="U10" s="280"/>
      <c r="V10" s="278"/>
      <c r="W10" s="277">
        <f t="shared" ref="W10:AG10" si="37">W9*$E10/12</f>
        <v>0</v>
      </c>
      <c r="X10" s="277">
        <f t="shared" si="37"/>
        <v>0</v>
      </c>
      <c r="Y10" s="277">
        <f t="shared" si="37"/>
        <v>0</v>
      </c>
      <c r="Z10" s="277">
        <f t="shared" si="37"/>
        <v>0</v>
      </c>
      <c r="AA10" s="277">
        <f t="shared" si="37"/>
        <v>0</v>
      </c>
      <c r="AB10" s="277">
        <f t="shared" si="37"/>
        <v>0</v>
      </c>
      <c r="AC10" s="277">
        <f t="shared" si="37"/>
        <v>0</v>
      </c>
      <c r="AD10" s="277">
        <f t="shared" si="37"/>
        <v>0</v>
      </c>
      <c r="AE10" s="277">
        <f t="shared" si="37"/>
        <v>0</v>
      </c>
      <c r="AF10" s="277">
        <f t="shared" si="37"/>
        <v>0</v>
      </c>
      <c r="AG10" s="277">
        <f t="shared" si="37"/>
        <v>0</v>
      </c>
      <c r="AH10" s="281">
        <f>SUM(V10:AG10)</f>
        <v>0</v>
      </c>
      <c r="AI10" s="280"/>
      <c r="AJ10" s="277">
        <f t="shared" ref="AJ10:AU10" si="38">AJ9*$E10/12</f>
        <v>0</v>
      </c>
      <c r="AK10" s="277">
        <f t="shared" si="38"/>
        <v>0</v>
      </c>
      <c r="AL10" s="277">
        <f t="shared" si="38"/>
        <v>0</v>
      </c>
      <c r="AM10" s="277">
        <f t="shared" si="38"/>
        <v>0</v>
      </c>
      <c r="AN10" s="277">
        <f t="shared" si="38"/>
        <v>0</v>
      </c>
      <c r="AO10" s="277">
        <f t="shared" si="38"/>
        <v>0</v>
      </c>
      <c r="AP10" s="277">
        <f t="shared" si="38"/>
        <v>0</v>
      </c>
      <c r="AQ10" s="277">
        <f t="shared" si="38"/>
        <v>0</v>
      </c>
      <c r="AR10" s="277">
        <f t="shared" si="38"/>
        <v>0</v>
      </c>
      <c r="AS10" s="277">
        <f t="shared" si="38"/>
        <v>0</v>
      </c>
      <c r="AT10" s="277">
        <f t="shared" si="38"/>
        <v>0</v>
      </c>
      <c r="AU10" s="277">
        <f t="shared" si="38"/>
        <v>0</v>
      </c>
      <c r="AV10" s="282">
        <f>SUM(AJ10:AU10)</f>
        <v>0</v>
      </c>
      <c r="AW10" s="280"/>
      <c r="AX10" s="278">
        <f t="shared" ref="AX10:BI10" si="39">+$Q9*$E10/12</f>
        <v>0</v>
      </c>
      <c r="AY10" s="278">
        <f t="shared" si="39"/>
        <v>0</v>
      </c>
      <c r="AZ10" s="278">
        <f t="shared" si="39"/>
        <v>0</v>
      </c>
      <c r="BA10" s="278">
        <f t="shared" si="39"/>
        <v>0</v>
      </c>
      <c r="BB10" s="278">
        <f t="shared" si="39"/>
        <v>0</v>
      </c>
      <c r="BC10" s="278">
        <f t="shared" si="39"/>
        <v>0</v>
      </c>
      <c r="BD10" s="278">
        <f t="shared" si="39"/>
        <v>0</v>
      </c>
      <c r="BE10" s="278">
        <f t="shared" si="39"/>
        <v>0</v>
      </c>
      <c r="BF10" s="278">
        <f t="shared" si="39"/>
        <v>0</v>
      </c>
      <c r="BG10" s="278">
        <f t="shared" si="39"/>
        <v>0</v>
      </c>
      <c r="BH10" s="278">
        <f t="shared" si="39"/>
        <v>0</v>
      </c>
      <c r="BI10" s="278">
        <f t="shared" si="39"/>
        <v>0</v>
      </c>
      <c r="BJ10" s="283">
        <f>SUM(AX10:BI10)</f>
        <v>0</v>
      </c>
      <c r="BK10" s="278"/>
      <c r="BL10" s="278">
        <f t="shared" ref="BL10:BW10" si="40">+$Q9*$E10/12</f>
        <v>0</v>
      </c>
      <c r="BM10" s="278">
        <f t="shared" si="40"/>
        <v>0</v>
      </c>
      <c r="BN10" s="278">
        <f t="shared" si="40"/>
        <v>0</v>
      </c>
      <c r="BO10" s="278">
        <f t="shared" si="40"/>
        <v>0</v>
      </c>
      <c r="BP10" s="278">
        <f t="shared" si="40"/>
        <v>0</v>
      </c>
      <c r="BQ10" s="278">
        <f t="shared" si="40"/>
        <v>0</v>
      </c>
      <c r="BR10" s="278">
        <f t="shared" si="40"/>
        <v>0</v>
      </c>
      <c r="BS10" s="278">
        <f t="shared" si="40"/>
        <v>0</v>
      </c>
      <c r="BT10" s="278">
        <f t="shared" si="40"/>
        <v>0</v>
      </c>
      <c r="BU10" s="278">
        <f t="shared" si="40"/>
        <v>0</v>
      </c>
      <c r="BV10" s="278">
        <f t="shared" si="40"/>
        <v>0</v>
      </c>
      <c r="BW10" s="278">
        <f t="shared" si="40"/>
        <v>0</v>
      </c>
      <c r="BX10" s="284">
        <f>SUM(BL10:BW10)</f>
        <v>0</v>
      </c>
      <c r="CK10" s="284">
        <f>SUM(BY10:CI10)</f>
        <v>0</v>
      </c>
      <c r="CX10" s="284">
        <f>SUM(CL10:CV10)</f>
        <v>0</v>
      </c>
      <c r="CY10" s="1000"/>
    </row>
    <row r="11" spans="1:106" ht="14.5" x14ac:dyDescent="0.4">
      <c r="B11" s="313"/>
      <c r="C11" s="313" t="s">
        <v>224</v>
      </c>
      <c r="D11" s="313"/>
      <c r="E11" s="312">
        <f>3.75%+3.02%</f>
        <v>6.7699999999999996E-2</v>
      </c>
      <c r="F11" s="314"/>
      <c r="G11" s="315"/>
      <c r="H11" s="316"/>
      <c r="I11" s="317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318"/>
      <c r="U11" s="319"/>
      <c r="V11" s="317"/>
      <c r="W11" s="316">
        <f t="shared" ref="W11:AG11" si="41">W9*$E11/12</f>
        <v>0</v>
      </c>
      <c r="X11" s="316">
        <f t="shared" si="41"/>
        <v>0</v>
      </c>
      <c r="Y11" s="316">
        <f t="shared" si="41"/>
        <v>0</v>
      </c>
      <c r="Z11" s="316">
        <f t="shared" si="41"/>
        <v>0</v>
      </c>
      <c r="AA11" s="316">
        <f t="shared" si="41"/>
        <v>0</v>
      </c>
      <c r="AB11" s="316">
        <f t="shared" si="41"/>
        <v>0</v>
      </c>
      <c r="AC11" s="316">
        <f t="shared" si="41"/>
        <v>0</v>
      </c>
      <c r="AD11" s="316">
        <f t="shared" si="41"/>
        <v>0</v>
      </c>
      <c r="AE11" s="316">
        <f t="shared" si="41"/>
        <v>0</v>
      </c>
      <c r="AF11" s="316">
        <f t="shared" si="41"/>
        <v>0</v>
      </c>
      <c r="AG11" s="316">
        <f t="shared" si="41"/>
        <v>0</v>
      </c>
      <c r="AH11" s="320">
        <f>SUM(V11:AG11)</f>
        <v>0</v>
      </c>
      <c r="AI11" s="319"/>
      <c r="AJ11" s="316">
        <f t="shared" ref="AJ11:AU11" si="42">AJ9*$E11/12</f>
        <v>0</v>
      </c>
      <c r="AK11" s="316">
        <f t="shared" si="42"/>
        <v>0</v>
      </c>
      <c r="AL11" s="316">
        <f t="shared" si="42"/>
        <v>0</v>
      </c>
      <c r="AM11" s="316">
        <f t="shared" si="42"/>
        <v>0</v>
      </c>
      <c r="AN11" s="316">
        <f t="shared" si="42"/>
        <v>0</v>
      </c>
      <c r="AO11" s="316">
        <f t="shared" si="42"/>
        <v>0</v>
      </c>
      <c r="AP11" s="316">
        <f t="shared" si="42"/>
        <v>0</v>
      </c>
      <c r="AQ11" s="316">
        <f t="shared" si="42"/>
        <v>0</v>
      </c>
      <c r="AR11" s="316">
        <f t="shared" si="42"/>
        <v>0</v>
      </c>
      <c r="AS11" s="316">
        <f t="shared" si="42"/>
        <v>0</v>
      </c>
      <c r="AT11" s="316">
        <f t="shared" si="42"/>
        <v>0</v>
      </c>
      <c r="AU11" s="316">
        <f t="shared" si="42"/>
        <v>0</v>
      </c>
      <c r="AV11" s="321">
        <f>SUM(AJ11:AU11)</f>
        <v>0</v>
      </c>
      <c r="AW11" s="319"/>
      <c r="AX11" s="317">
        <f t="shared" ref="AX11:BI11" si="43">+$W9*$E11/12</f>
        <v>0</v>
      </c>
      <c r="AY11" s="317">
        <f t="shared" si="43"/>
        <v>0</v>
      </c>
      <c r="AZ11" s="317">
        <f t="shared" si="43"/>
        <v>0</v>
      </c>
      <c r="BA11" s="317">
        <f t="shared" si="43"/>
        <v>0</v>
      </c>
      <c r="BB11" s="317">
        <f t="shared" si="43"/>
        <v>0</v>
      </c>
      <c r="BC11" s="317">
        <f t="shared" si="43"/>
        <v>0</v>
      </c>
      <c r="BD11" s="317">
        <f t="shared" si="43"/>
        <v>0</v>
      </c>
      <c r="BE11" s="317">
        <f t="shared" si="43"/>
        <v>0</v>
      </c>
      <c r="BF11" s="317">
        <f t="shared" si="43"/>
        <v>0</v>
      </c>
      <c r="BG11" s="317">
        <f t="shared" si="43"/>
        <v>0</v>
      </c>
      <c r="BH11" s="317">
        <f t="shared" si="43"/>
        <v>0</v>
      </c>
      <c r="BI11" s="317">
        <f t="shared" si="43"/>
        <v>0</v>
      </c>
      <c r="BJ11" s="322">
        <f>SUM(AX11:BI11)</f>
        <v>0</v>
      </c>
      <c r="BK11" s="317"/>
      <c r="BL11" s="317">
        <f t="shared" ref="BL11:BW11" si="44">+$W9*$E11/12</f>
        <v>0</v>
      </c>
      <c r="BM11" s="317">
        <f t="shared" si="44"/>
        <v>0</v>
      </c>
      <c r="BN11" s="317">
        <f t="shared" si="44"/>
        <v>0</v>
      </c>
      <c r="BO11" s="317">
        <f t="shared" si="44"/>
        <v>0</v>
      </c>
      <c r="BP11" s="317">
        <f t="shared" si="44"/>
        <v>0</v>
      </c>
      <c r="BQ11" s="317">
        <f t="shared" si="44"/>
        <v>0</v>
      </c>
      <c r="BR11" s="317">
        <f t="shared" si="44"/>
        <v>0</v>
      </c>
      <c r="BS11" s="317">
        <f t="shared" si="44"/>
        <v>0</v>
      </c>
      <c r="BT11" s="317">
        <f t="shared" si="44"/>
        <v>0</v>
      </c>
      <c r="BU11" s="317">
        <f t="shared" si="44"/>
        <v>0</v>
      </c>
      <c r="BV11" s="317">
        <f t="shared" si="44"/>
        <v>0</v>
      </c>
      <c r="BW11" s="317">
        <f t="shared" si="44"/>
        <v>0</v>
      </c>
      <c r="BX11" s="323">
        <f>SUM(BL11:BW11)</f>
        <v>0</v>
      </c>
      <c r="CK11" s="323">
        <f>SUM(BX11:CI11)</f>
        <v>0</v>
      </c>
      <c r="CX11" s="323">
        <f>SUM(CK11:CV11)</f>
        <v>0</v>
      </c>
      <c r="CY11" s="1000"/>
    </row>
    <row r="12" spans="1:106" ht="14.5" x14ac:dyDescent="0.4">
      <c r="G12" s="266"/>
      <c r="H12" s="277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9"/>
      <c r="U12" s="280"/>
      <c r="V12" s="278"/>
      <c r="W12" s="277"/>
      <c r="X12" s="278"/>
      <c r="Y12" s="278"/>
      <c r="Z12" s="278"/>
      <c r="AA12" s="278"/>
      <c r="AB12" s="278"/>
      <c r="AC12" s="278"/>
      <c r="AD12" s="278"/>
      <c r="AE12" s="278"/>
      <c r="AF12" s="278"/>
      <c r="AG12" s="277"/>
      <c r="AH12" s="281"/>
      <c r="AI12" s="280"/>
      <c r="AJ12" s="278"/>
      <c r="AK12" s="278"/>
      <c r="AL12" s="278"/>
      <c r="AM12" s="278"/>
      <c r="AN12" s="278"/>
      <c r="AO12" s="278"/>
      <c r="AP12" s="278"/>
      <c r="AQ12" s="278"/>
      <c r="AR12" s="278"/>
      <c r="AS12" s="278"/>
      <c r="AT12" s="278"/>
      <c r="AU12" s="278"/>
      <c r="AV12" s="282"/>
      <c r="AW12" s="280"/>
      <c r="AX12" s="278"/>
      <c r="AY12" s="278"/>
      <c r="AZ12" s="278"/>
      <c r="BA12" s="278"/>
      <c r="BB12" s="278"/>
      <c r="BC12" s="278"/>
      <c r="BD12" s="278"/>
      <c r="BE12" s="278"/>
      <c r="BF12" s="278"/>
      <c r="BG12" s="278"/>
      <c r="BH12" s="278"/>
      <c r="BI12" s="278"/>
      <c r="BJ12" s="283"/>
      <c r="BK12" s="278"/>
      <c r="BL12" s="278"/>
      <c r="BM12" s="278"/>
      <c r="BN12" s="278"/>
      <c r="BO12" s="278"/>
      <c r="BP12" s="278"/>
      <c r="BQ12" s="278"/>
      <c r="BR12" s="278"/>
      <c r="BS12" s="278"/>
      <c r="BT12" s="278"/>
      <c r="BU12" s="278"/>
      <c r="BV12" s="278"/>
      <c r="BW12" s="278"/>
      <c r="BX12" s="284"/>
      <c r="CK12" s="284"/>
      <c r="CX12" s="284"/>
      <c r="CY12" s="1000"/>
    </row>
    <row r="13" spans="1:106" ht="14.5" x14ac:dyDescent="0.4">
      <c r="B13" s="267" t="s">
        <v>500</v>
      </c>
      <c r="C13" s="267"/>
      <c r="D13" s="267"/>
      <c r="E13" s="275">
        <v>200000</v>
      </c>
      <c r="F13" s="268"/>
      <c r="G13" s="269"/>
      <c r="H13" s="296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8"/>
      <c r="U13" s="299"/>
      <c r="V13" s="297"/>
      <c r="W13" s="296"/>
      <c r="X13" s="297"/>
      <c r="Y13" s="297"/>
      <c r="Z13" s="297"/>
      <c r="AA13" s="297"/>
      <c r="AB13" s="297"/>
      <c r="AC13" s="297"/>
      <c r="AD13" s="297"/>
      <c r="AE13" s="297"/>
      <c r="AF13" s="297"/>
      <c r="AG13" s="296"/>
      <c r="AH13" s="300"/>
      <c r="AI13" s="299"/>
      <c r="AJ13" s="297"/>
      <c r="AK13" s="297"/>
      <c r="AL13" s="297"/>
      <c r="AM13" s="297"/>
      <c r="AN13" s="297"/>
      <c r="AO13" s="297"/>
      <c r="AP13" s="297"/>
      <c r="AQ13" s="297"/>
      <c r="AR13" s="297"/>
      <c r="AS13" s="297"/>
      <c r="AT13" s="297"/>
      <c r="AU13" s="297"/>
      <c r="AV13" s="301"/>
      <c r="AW13" s="299"/>
      <c r="AX13" s="297"/>
      <c r="AY13" s="297"/>
      <c r="AZ13" s="297"/>
      <c r="BA13" s="297"/>
      <c r="BB13" s="297"/>
      <c r="BC13" s="297"/>
      <c r="BD13" s="297"/>
      <c r="BE13" s="297"/>
      <c r="BF13" s="297"/>
      <c r="BG13" s="297"/>
      <c r="BH13" s="297"/>
      <c r="BI13" s="297"/>
      <c r="BJ13" s="302"/>
      <c r="BK13" s="297"/>
      <c r="BL13" s="297"/>
      <c r="BM13" s="297"/>
      <c r="BN13" s="297"/>
      <c r="BO13" s="297"/>
      <c r="BP13" s="297"/>
      <c r="BQ13" s="297"/>
      <c r="BR13" s="297"/>
      <c r="BS13" s="297"/>
      <c r="BT13" s="297"/>
      <c r="BU13" s="297"/>
      <c r="BV13" s="297"/>
      <c r="BW13" s="297"/>
      <c r="BX13" s="303"/>
      <c r="CK13" s="303"/>
      <c r="CX13" s="303"/>
      <c r="CY13" s="1000"/>
    </row>
    <row r="14" spans="1:106" ht="16.5" customHeight="1" x14ac:dyDescent="0.4">
      <c r="C14" s="30" t="s">
        <v>498</v>
      </c>
      <c r="G14" s="266"/>
      <c r="H14" s="277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9"/>
      <c r="U14" s="280"/>
      <c r="V14" s="278"/>
      <c r="W14" s="277"/>
      <c r="X14" s="278"/>
      <c r="Y14" s="278"/>
      <c r="Z14" s="277"/>
      <c r="AA14" s="275">
        <v>200000</v>
      </c>
      <c r="AB14" s="278">
        <f>AA14</f>
        <v>200000</v>
      </c>
      <c r="AC14" s="278">
        <f>+AB14-AB15</f>
        <v>200000</v>
      </c>
      <c r="AD14" s="278">
        <f>+AC14-AC15</f>
        <v>200000</v>
      </c>
      <c r="AE14" s="278">
        <f>+AD14-AD15</f>
        <v>200000</v>
      </c>
      <c r="AF14" s="278">
        <f>+AE14-AE15</f>
        <v>200000</v>
      </c>
      <c r="AG14" s="277">
        <f>+AF14-AF15</f>
        <v>197786</v>
      </c>
      <c r="AH14" s="281">
        <f>AG14</f>
        <v>197786</v>
      </c>
      <c r="AI14" s="280"/>
      <c r="AJ14" s="278">
        <f>+AG14-AG15</f>
        <v>195560.93</v>
      </c>
      <c r="AK14" s="278">
        <f t="shared" ref="AK14:AU14" si="45">+AJ14-AJ15</f>
        <v>193324.73465</v>
      </c>
      <c r="AL14" s="278">
        <f t="shared" si="45"/>
        <v>191077.35832325</v>
      </c>
      <c r="AM14" s="278">
        <f t="shared" si="45"/>
        <v>188818.74511486624</v>
      </c>
      <c r="AN14" s="278">
        <f t="shared" si="45"/>
        <v>186548.83884044056</v>
      </c>
      <c r="AO14" s="278">
        <f t="shared" si="45"/>
        <v>184267.58303464277</v>
      </c>
      <c r="AP14" s="278">
        <f t="shared" si="45"/>
        <v>181974.92094981598</v>
      </c>
      <c r="AQ14" s="278">
        <f>+AP14-AP15</f>
        <v>179670.79555456506</v>
      </c>
      <c r="AR14" s="278">
        <f>+AQ14-AQ15</f>
        <v>0</v>
      </c>
      <c r="AS14" s="278">
        <f t="shared" si="45"/>
        <v>0</v>
      </c>
      <c r="AT14" s="278">
        <f t="shared" si="45"/>
        <v>0</v>
      </c>
      <c r="AU14" s="278">
        <f t="shared" si="45"/>
        <v>0</v>
      </c>
      <c r="AV14" s="282">
        <f>AU14</f>
        <v>0</v>
      </c>
      <c r="AW14" s="280"/>
      <c r="AX14" s="278">
        <f>+AU14-AU15</f>
        <v>0</v>
      </c>
      <c r="AY14" s="278">
        <f t="shared" ref="AY14:BI14" si="46">+AX14-AX15</f>
        <v>0</v>
      </c>
      <c r="AZ14" s="278">
        <f t="shared" si="46"/>
        <v>0</v>
      </c>
      <c r="BA14" s="278">
        <f t="shared" si="46"/>
        <v>0</v>
      </c>
      <c r="BB14" s="278">
        <f t="shared" si="46"/>
        <v>0</v>
      </c>
      <c r="BC14" s="278">
        <f t="shared" si="46"/>
        <v>0</v>
      </c>
      <c r="BD14" s="278">
        <f t="shared" si="46"/>
        <v>0</v>
      </c>
      <c r="BE14" s="278">
        <f t="shared" si="46"/>
        <v>0</v>
      </c>
      <c r="BF14" s="278">
        <f t="shared" si="46"/>
        <v>0</v>
      </c>
      <c r="BG14" s="278">
        <f t="shared" si="46"/>
        <v>0</v>
      </c>
      <c r="BH14" s="278">
        <f t="shared" si="46"/>
        <v>0</v>
      </c>
      <c r="BI14" s="278">
        <f t="shared" si="46"/>
        <v>0</v>
      </c>
      <c r="BJ14" s="283">
        <f>BI14</f>
        <v>0</v>
      </c>
      <c r="BK14" s="278"/>
      <c r="BL14" s="278">
        <f>+BI14-BI15</f>
        <v>0</v>
      </c>
      <c r="BM14" s="278">
        <f t="shared" ref="BM14:BW14" si="47">+BL14-BL15</f>
        <v>0</v>
      </c>
      <c r="BN14" s="278">
        <f t="shared" si="47"/>
        <v>0</v>
      </c>
      <c r="BO14" s="278">
        <f t="shared" si="47"/>
        <v>0</v>
      </c>
      <c r="BP14" s="278">
        <f t="shared" si="47"/>
        <v>0</v>
      </c>
      <c r="BQ14" s="278">
        <f t="shared" si="47"/>
        <v>0</v>
      </c>
      <c r="BR14" s="278">
        <f t="shared" si="47"/>
        <v>0</v>
      </c>
      <c r="BS14" s="278">
        <f t="shared" si="47"/>
        <v>0</v>
      </c>
      <c r="BT14" s="278">
        <f t="shared" si="47"/>
        <v>0</v>
      </c>
      <c r="BU14" s="278">
        <f t="shared" si="47"/>
        <v>0</v>
      </c>
      <c r="BV14" s="278">
        <f t="shared" si="47"/>
        <v>0</v>
      </c>
      <c r="BW14" s="278">
        <f t="shared" si="47"/>
        <v>0</v>
      </c>
      <c r="BX14" s="284">
        <f>BW14</f>
        <v>0</v>
      </c>
      <c r="CK14" s="284">
        <f>CI14</f>
        <v>0</v>
      </c>
      <c r="CX14" s="284">
        <f>CV14</f>
        <v>0</v>
      </c>
      <c r="CY14" s="1000"/>
    </row>
    <row r="15" spans="1:106" s="295" customFormat="1" ht="14.5" x14ac:dyDescent="0.4">
      <c r="A15" s="288"/>
      <c r="C15" s="295" t="s">
        <v>501</v>
      </c>
      <c r="F15" s="324"/>
      <c r="G15" s="324"/>
      <c r="H15" s="325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7"/>
      <c r="U15" s="327"/>
      <c r="V15" s="326"/>
      <c r="W15" s="325"/>
      <c r="X15" s="326"/>
      <c r="Y15" s="326"/>
      <c r="Z15" s="326"/>
      <c r="AA15" s="326"/>
      <c r="AB15" s="326"/>
      <c r="AC15" s="326"/>
      <c r="AD15" s="326"/>
      <c r="AE15" s="326"/>
      <c r="AF15" s="326">
        <f>$F16-AF17</f>
        <v>2214</v>
      </c>
      <c r="AG15" s="326">
        <f>$F16-AG17</f>
        <v>2225.0700000000002</v>
      </c>
      <c r="AH15" s="327">
        <f>SUM(V15:AG15)</f>
        <v>4439.07</v>
      </c>
      <c r="AI15" s="327"/>
      <c r="AJ15" s="326">
        <f t="shared" ref="AJ15:AP15" si="48">$F16-AJ17</f>
        <v>2236.19535</v>
      </c>
      <c r="AK15" s="326">
        <f t="shared" si="48"/>
        <v>2247.3763267499999</v>
      </c>
      <c r="AL15" s="326">
        <f t="shared" si="48"/>
        <v>2258.6132083837501</v>
      </c>
      <c r="AM15" s="326">
        <f t="shared" si="48"/>
        <v>2269.9062744256689</v>
      </c>
      <c r="AN15" s="326">
        <f t="shared" si="48"/>
        <v>2281.2558057977972</v>
      </c>
      <c r="AO15" s="326">
        <f t="shared" si="48"/>
        <v>2292.6620848267862</v>
      </c>
      <c r="AP15" s="326">
        <f t="shared" si="48"/>
        <v>2304.1253952509201</v>
      </c>
      <c r="AQ15" s="326">
        <f>AQ14</f>
        <v>179670.79555456506</v>
      </c>
      <c r="AR15" s="326">
        <f>0</f>
        <v>0</v>
      </c>
      <c r="AS15" s="326">
        <v>0</v>
      </c>
      <c r="AT15" s="326">
        <v>0</v>
      </c>
      <c r="AU15" s="326">
        <v>0</v>
      </c>
      <c r="AV15" s="327">
        <f>SUM(AJ15:AU15)</f>
        <v>195560.93</v>
      </c>
      <c r="AW15" s="327"/>
      <c r="AX15" s="326">
        <f>0</f>
        <v>0</v>
      </c>
      <c r="AY15" s="326">
        <f>0</f>
        <v>0</v>
      </c>
      <c r="AZ15" s="326">
        <f>0</f>
        <v>0</v>
      </c>
      <c r="BA15" s="326">
        <f>0</f>
        <v>0</v>
      </c>
      <c r="BB15" s="326">
        <f>0</f>
        <v>0</v>
      </c>
      <c r="BC15" s="326">
        <f>0</f>
        <v>0</v>
      </c>
      <c r="BD15" s="326">
        <f>0</f>
        <v>0</v>
      </c>
      <c r="BE15" s="326">
        <f>0</f>
        <v>0</v>
      </c>
      <c r="BF15" s="326">
        <f>0</f>
        <v>0</v>
      </c>
      <c r="BG15" s="326">
        <f>0</f>
        <v>0</v>
      </c>
      <c r="BH15" s="326">
        <f>0</f>
        <v>0</v>
      </c>
      <c r="BI15" s="326">
        <f>0</f>
        <v>0</v>
      </c>
      <c r="BJ15" s="327">
        <f>SUM(AX15:BI15)</f>
        <v>0</v>
      </c>
      <c r="BK15" s="326"/>
      <c r="BL15" s="326">
        <v>0</v>
      </c>
      <c r="BM15" s="326">
        <v>0</v>
      </c>
      <c r="BN15" s="326">
        <v>0</v>
      </c>
      <c r="BO15" s="326">
        <v>0</v>
      </c>
      <c r="BP15" s="326">
        <v>0</v>
      </c>
      <c r="BQ15" s="326">
        <v>0</v>
      </c>
      <c r="BR15" s="326">
        <v>0</v>
      </c>
      <c r="BS15" s="326">
        <v>0</v>
      </c>
      <c r="BT15" s="326">
        <v>0</v>
      </c>
      <c r="BU15" s="326">
        <v>0</v>
      </c>
      <c r="BV15" s="326">
        <v>0</v>
      </c>
      <c r="BW15" s="326">
        <v>0</v>
      </c>
      <c r="BX15" s="327">
        <f>SUM(BL15:BW15)</f>
        <v>0</v>
      </c>
      <c r="CK15" s="327">
        <f>SUM(BX15:CI15)</f>
        <v>0</v>
      </c>
      <c r="CX15" s="327">
        <f>SUM(CK15:CV15)</f>
        <v>0</v>
      </c>
      <c r="CY15" s="1004"/>
      <c r="CZ15" s="1002"/>
      <c r="DA15" s="1002"/>
      <c r="DB15" s="1002"/>
    </row>
    <row r="16" spans="1:106" s="295" customFormat="1" ht="14.5" x14ac:dyDescent="0.4">
      <c r="A16" s="288"/>
      <c r="C16" s="295" t="s">
        <v>502</v>
      </c>
      <c r="E16" s="328">
        <v>84</v>
      </c>
      <c r="F16" s="328">
        <v>3214</v>
      </c>
      <c r="G16" s="329"/>
      <c r="H16" s="330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2"/>
      <c r="U16" s="332"/>
      <c r="V16" s="331"/>
      <c r="W16" s="330"/>
      <c r="X16" s="331"/>
      <c r="Y16" s="331"/>
      <c r="Z16" s="331"/>
      <c r="AA16" s="331"/>
      <c r="AB16" s="331"/>
      <c r="AC16" s="331"/>
      <c r="AD16" s="331"/>
      <c r="AE16" s="331"/>
      <c r="AF16" s="331"/>
      <c r="AG16" s="330"/>
      <c r="AH16" s="332"/>
      <c r="AI16" s="332"/>
      <c r="AJ16" s="331"/>
      <c r="AK16" s="331"/>
      <c r="AL16" s="331"/>
      <c r="AM16" s="331"/>
      <c r="AN16" s="331"/>
      <c r="AO16" s="331"/>
      <c r="AP16" s="331"/>
      <c r="AQ16" s="331"/>
      <c r="AR16" s="331"/>
      <c r="AS16" s="331"/>
      <c r="AT16" s="331"/>
      <c r="AU16" s="331"/>
      <c r="AV16" s="332"/>
      <c r="AW16" s="332"/>
      <c r="AX16" s="331"/>
      <c r="AY16" s="331"/>
      <c r="AZ16" s="331"/>
      <c r="BA16" s="331"/>
      <c r="BB16" s="331"/>
      <c r="BC16" s="331"/>
      <c r="BD16" s="331"/>
      <c r="BE16" s="331"/>
      <c r="BF16" s="331"/>
      <c r="BG16" s="331"/>
      <c r="BH16" s="331"/>
      <c r="BI16" s="331"/>
      <c r="BJ16" s="332"/>
      <c r="BK16" s="326"/>
      <c r="BL16" s="326"/>
      <c r="BM16" s="326"/>
      <c r="BN16" s="326"/>
      <c r="BO16" s="326"/>
      <c r="BP16" s="326"/>
      <c r="BQ16" s="326"/>
      <c r="BR16" s="326"/>
      <c r="BS16" s="326"/>
      <c r="BT16" s="326"/>
      <c r="BU16" s="326"/>
      <c r="BV16" s="326"/>
      <c r="BW16" s="326"/>
      <c r="BX16" s="327"/>
      <c r="CK16" s="327"/>
      <c r="CX16" s="327"/>
      <c r="CY16" s="1004"/>
      <c r="CZ16" s="1002"/>
      <c r="DA16" s="1002"/>
      <c r="DB16" s="1002"/>
    </row>
    <row r="17" spans="1:106" s="295" customFormat="1" ht="14.5" x14ac:dyDescent="0.4">
      <c r="A17" s="288"/>
      <c r="C17" s="295" t="s">
        <v>224</v>
      </c>
      <c r="E17" s="333">
        <f>(3.75+2.25)/100</f>
        <v>0.06</v>
      </c>
      <c r="F17" s="324"/>
      <c r="G17" s="324"/>
      <c r="H17" s="325"/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7"/>
      <c r="U17" s="327"/>
      <c r="V17" s="326"/>
      <c r="W17" s="325"/>
      <c r="X17" s="326"/>
      <c r="Y17" s="326">
        <f>+Y14*$E$17/12</f>
        <v>0</v>
      </c>
      <c r="Z17" s="326">
        <v>0</v>
      </c>
      <c r="AA17" s="326">
        <v>0</v>
      </c>
      <c r="AB17" s="326">
        <v>0</v>
      </c>
      <c r="AC17" s="326">
        <v>0</v>
      </c>
      <c r="AD17" s="326">
        <v>0</v>
      </c>
      <c r="AE17" s="326">
        <v>0</v>
      </c>
      <c r="AF17" s="326">
        <f>+AF14*$E$17/12</f>
        <v>1000</v>
      </c>
      <c r="AG17" s="325">
        <f>+AG14*$E$17/12</f>
        <v>988.93</v>
      </c>
      <c r="AH17" s="327">
        <f>SUM(V17:AG17)</f>
        <v>1988.9299999999998</v>
      </c>
      <c r="AI17" s="327"/>
      <c r="AJ17" s="326">
        <f t="shared" ref="AJ17:AU17" si="49">+AJ14*$E$17/12</f>
        <v>977.80464999999992</v>
      </c>
      <c r="AK17" s="326">
        <f t="shared" si="49"/>
        <v>966.62367325000002</v>
      </c>
      <c r="AL17" s="326">
        <f t="shared" si="49"/>
        <v>955.38679161624987</v>
      </c>
      <c r="AM17" s="326">
        <f t="shared" si="49"/>
        <v>944.09372557433107</v>
      </c>
      <c r="AN17" s="326">
        <f t="shared" si="49"/>
        <v>932.74419420220272</v>
      </c>
      <c r="AO17" s="326">
        <f t="shared" si="49"/>
        <v>921.33791517321379</v>
      </c>
      <c r="AP17" s="326">
        <f t="shared" si="49"/>
        <v>909.87460474907982</v>
      </c>
      <c r="AQ17" s="326">
        <f t="shared" si="49"/>
        <v>898.35397777282526</v>
      </c>
      <c r="AR17" s="326">
        <f t="shared" si="49"/>
        <v>0</v>
      </c>
      <c r="AS17" s="326">
        <f t="shared" si="49"/>
        <v>0</v>
      </c>
      <c r="AT17" s="326">
        <f t="shared" si="49"/>
        <v>0</v>
      </c>
      <c r="AU17" s="326">
        <f t="shared" si="49"/>
        <v>0</v>
      </c>
      <c r="AV17" s="327">
        <f>SUM(AJ17:AU17)</f>
        <v>7506.2195323379028</v>
      </c>
      <c r="AW17" s="327"/>
      <c r="AX17" s="326">
        <f t="shared" ref="AX17:BI17" si="50">+AX14*$E$17/12</f>
        <v>0</v>
      </c>
      <c r="AY17" s="326">
        <f t="shared" si="50"/>
        <v>0</v>
      </c>
      <c r="AZ17" s="326">
        <f t="shared" si="50"/>
        <v>0</v>
      </c>
      <c r="BA17" s="326">
        <f t="shared" si="50"/>
        <v>0</v>
      </c>
      <c r="BB17" s="326">
        <f t="shared" si="50"/>
        <v>0</v>
      </c>
      <c r="BC17" s="326">
        <f t="shared" si="50"/>
        <v>0</v>
      </c>
      <c r="BD17" s="326">
        <f t="shared" si="50"/>
        <v>0</v>
      </c>
      <c r="BE17" s="326">
        <f t="shared" si="50"/>
        <v>0</v>
      </c>
      <c r="BF17" s="326">
        <f t="shared" si="50"/>
        <v>0</v>
      </c>
      <c r="BG17" s="326">
        <f t="shared" si="50"/>
        <v>0</v>
      </c>
      <c r="BH17" s="326">
        <f t="shared" si="50"/>
        <v>0</v>
      </c>
      <c r="BI17" s="326">
        <f t="shared" si="50"/>
        <v>0</v>
      </c>
      <c r="BJ17" s="327">
        <f>SUM(AX17:BI17)</f>
        <v>0</v>
      </c>
      <c r="BK17" s="334"/>
      <c r="BL17" s="334">
        <f t="shared" ref="BL17:BW17" si="51">+BL14*$E$17/12</f>
        <v>0</v>
      </c>
      <c r="BM17" s="334">
        <f t="shared" si="51"/>
        <v>0</v>
      </c>
      <c r="BN17" s="334">
        <f t="shared" si="51"/>
        <v>0</v>
      </c>
      <c r="BO17" s="334">
        <f t="shared" si="51"/>
        <v>0</v>
      </c>
      <c r="BP17" s="334">
        <f t="shared" si="51"/>
        <v>0</v>
      </c>
      <c r="BQ17" s="334">
        <f t="shared" si="51"/>
        <v>0</v>
      </c>
      <c r="BR17" s="334">
        <f t="shared" si="51"/>
        <v>0</v>
      </c>
      <c r="BS17" s="334">
        <f t="shared" si="51"/>
        <v>0</v>
      </c>
      <c r="BT17" s="334">
        <f t="shared" si="51"/>
        <v>0</v>
      </c>
      <c r="BU17" s="334">
        <f t="shared" si="51"/>
        <v>0</v>
      </c>
      <c r="BV17" s="334">
        <f t="shared" si="51"/>
        <v>0</v>
      </c>
      <c r="BW17" s="334">
        <f t="shared" si="51"/>
        <v>0</v>
      </c>
      <c r="BX17" s="335">
        <f>SUM(BL17:BW17)</f>
        <v>0</v>
      </c>
      <c r="CK17" s="335">
        <f>SUM(BX17:CI17)</f>
        <v>0</v>
      </c>
      <c r="CX17" s="335">
        <f>SUM(CK17:CV17)</f>
        <v>0</v>
      </c>
      <c r="CY17" s="1004"/>
      <c r="CZ17" s="1002"/>
      <c r="DA17" s="1002"/>
      <c r="DB17" s="1002"/>
    </row>
    <row r="18" spans="1:106" ht="14.5" x14ac:dyDescent="0.4">
      <c r="B18" s="313"/>
      <c r="C18" s="313" t="s">
        <v>503</v>
      </c>
      <c r="D18" s="313"/>
      <c r="E18" s="312">
        <v>0.01</v>
      </c>
      <c r="F18" s="314"/>
      <c r="G18" s="315"/>
      <c r="H18" s="316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8"/>
      <c r="U18" s="319"/>
      <c r="V18" s="317"/>
      <c r="W18" s="316"/>
      <c r="X18" s="316">
        <v>2000</v>
      </c>
      <c r="Y18" s="317"/>
      <c r="Z18" s="317"/>
      <c r="AA18" s="317"/>
      <c r="AB18" s="317"/>
      <c r="AC18" s="317"/>
      <c r="AD18" s="317"/>
      <c r="AE18" s="317"/>
      <c r="AF18" s="317"/>
      <c r="AG18" s="316"/>
      <c r="AH18" s="320">
        <f>SUM(V18:AG18)</f>
        <v>2000</v>
      </c>
      <c r="AI18" s="319"/>
      <c r="AJ18" s="317"/>
      <c r="AK18" s="317"/>
      <c r="AL18" s="317"/>
      <c r="AM18" s="317"/>
      <c r="AN18" s="317"/>
      <c r="AO18" s="317"/>
      <c r="AP18" s="317"/>
      <c r="AQ18" s="317"/>
      <c r="AR18" s="317"/>
      <c r="AS18" s="317"/>
      <c r="AT18" s="317"/>
      <c r="AU18" s="317"/>
      <c r="AV18" s="321">
        <f>SUM(AJ18:AU18)</f>
        <v>0</v>
      </c>
      <c r="AW18" s="319"/>
      <c r="AX18" s="317"/>
      <c r="AY18" s="317"/>
      <c r="AZ18" s="317"/>
      <c r="BA18" s="317"/>
      <c r="BB18" s="317"/>
      <c r="BC18" s="317"/>
      <c r="BD18" s="317"/>
      <c r="BE18" s="317"/>
      <c r="BF18" s="317"/>
      <c r="BG18" s="317"/>
      <c r="BH18" s="317"/>
      <c r="BI18" s="317"/>
      <c r="BJ18" s="322">
        <f>SUM(AX18:BI18)</f>
        <v>0</v>
      </c>
      <c r="BK18" s="317"/>
      <c r="BL18" s="317"/>
      <c r="BM18" s="317"/>
      <c r="BN18" s="317"/>
      <c r="BO18" s="317"/>
      <c r="BP18" s="317"/>
      <c r="BQ18" s="317"/>
      <c r="BR18" s="317"/>
      <c r="BS18" s="317"/>
      <c r="BT18" s="317"/>
      <c r="BU18" s="317"/>
      <c r="BV18" s="317"/>
      <c r="BW18" s="317"/>
      <c r="BX18" s="323"/>
      <c r="CK18" s="323"/>
      <c r="CX18" s="323"/>
      <c r="CY18" s="1000"/>
    </row>
    <row r="19" spans="1:106" s="22" customFormat="1" ht="14.5" x14ac:dyDescent="0.4">
      <c r="A19" s="194"/>
      <c r="B19" s="30"/>
      <c r="C19" s="30"/>
      <c r="D19" s="30"/>
      <c r="E19" s="30"/>
      <c r="F19" s="31"/>
      <c r="G19" s="266"/>
      <c r="H19" s="277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9"/>
      <c r="U19" s="280"/>
      <c r="V19" s="278"/>
      <c r="W19" s="277"/>
      <c r="X19" s="278"/>
      <c r="Y19" s="278"/>
      <c r="Z19" s="278"/>
      <c r="AA19" s="278"/>
      <c r="AB19" s="278"/>
      <c r="AC19" s="278"/>
      <c r="AD19" s="278"/>
      <c r="AE19" s="278"/>
      <c r="AF19" s="278"/>
      <c r="AG19" s="277"/>
      <c r="AH19" s="281"/>
      <c r="AI19" s="280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82"/>
      <c r="AW19" s="280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83"/>
      <c r="BK19" s="278"/>
      <c r="BL19" s="278"/>
      <c r="BM19" s="278"/>
      <c r="BN19" s="278"/>
      <c r="BO19" s="278"/>
      <c r="BP19" s="278"/>
      <c r="BQ19" s="278"/>
      <c r="BR19" s="278"/>
      <c r="BS19" s="278"/>
      <c r="BT19" s="278"/>
      <c r="BU19" s="278"/>
      <c r="BV19" s="278"/>
      <c r="BW19" s="278"/>
      <c r="BX19" s="284"/>
      <c r="CK19" s="284"/>
      <c r="CX19" s="284"/>
      <c r="CY19" s="1000"/>
      <c r="CZ19" s="827"/>
      <c r="DA19" s="827"/>
      <c r="DB19" s="827"/>
    </row>
    <row r="20" spans="1:106" ht="14.5" x14ac:dyDescent="0.4">
      <c r="B20" s="58" t="s">
        <v>504</v>
      </c>
      <c r="C20" s="58"/>
      <c r="D20" s="58"/>
      <c r="E20" s="58"/>
      <c r="F20" s="176"/>
      <c r="G20" s="336"/>
      <c r="H20" s="337">
        <f t="shared" ref="H20:S20" si="52">SUM(H6,H10:H11,H17:H18)</f>
        <v>882.0604166666667</v>
      </c>
      <c r="I20" s="337">
        <f t="shared" si="52"/>
        <v>898.72708333333333</v>
      </c>
      <c r="J20" s="337">
        <f t="shared" si="52"/>
        <v>898.72708333333333</v>
      </c>
      <c r="K20" s="337">
        <f t="shared" si="52"/>
        <v>898.72708333333333</v>
      </c>
      <c r="L20" s="337">
        <f t="shared" si="52"/>
        <v>898.72708333333333</v>
      </c>
      <c r="M20" s="337">
        <f t="shared" si="52"/>
        <v>896.64375000000007</v>
      </c>
      <c r="N20" s="337">
        <f t="shared" si="52"/>
        <v>917.47708333333333</v>
      </c>
      <c r="O20" s="337">
        <f t="shared" si="52"/>
        <v>934.14375000000007</v>
      </c>
      <c r="P20" s="337">
        <f t="shared" si="52"/>
        <v>986.4354166666667</v>
      </c>
      <c r="Q20" s="337">
        <f t="shared" si="52"/>
        <v>1031.8520833333334</v>
      </c>
      <c r="R20" s="337">
        <f t="shared" si="52"/>
        <v>1037.0604166666667</v>
      </c>
      <c r="S20" s="337">
        <f t="shared" si="52"/>
        <v>1152.6854166666667</v>
      </c>
      <c r="T20" s="338">
        <f>SUM(H20:S20)</f>
        <v>11433.266666666668</v>
      </c>
      <c r="U20" s="339"/>
      <c r="V20" s="337">
        <f t="shared" ref="V20:AG20" si="53">SUM(V6,V10:V11,V17:V18)</f>
        <v>1318.9333333333334</v>
      </c>
      <c r="W20" s="337">
        <f t="shared" si="53"/>
        <v>1639.9750000000001</v>
      </c>
      <c r="X20" s="337">
        <f t="shared" si="53"/>
        <v>3768.1000000000004</v>
      </c>
      <c r="Y20" s="337">
        <f t="shared" si="53"/>
        <v>1778.5166666666667</v>
      </c>
      <c r="Z20" s="337">
        <f t="shared" si="53"/>
        <v>1778.5166666666667</v>
      </c>
      <c r="AA20" s="337">
        <f t="shared" si="53"/>
        <v>1778.5166666666667</v>
      </c>
      <c r="AB20" s="337">
        <f t="shared" si="53"/>
        <v>1778.5166666666667</v>
      </c>
      <c r="AC20" s="337">
        <f t="shared" si="53"/>
        <v>1882.6833333333334</v>
      </c>
      <c r="AD20" s="337">
        <f t="shared" si="53"/>
        <v>1882.6833333333334</v>
      </c>
      <c r="AE20" s="337">
        <f t="shared" si="53"/>
        <v>1882.6833333333334</v>
      </c>
      <c r="AF20" s="337">
        <f t="shared" si="53"/>
        <v>2882.6833333333334</v>
      </c>
      <c r="AG20" s="337">
        <f t="shared" si="53"/>
        <v>2871.6133333333332</v>
      </c>
      <c r="AH20" s="340">
        <f>SUM(V20:AG20)</f>
        <v>25243.421666666673</v>
      </c>
      <c r="AI20" s="339"/>
      <c r="AJ20" s="341">
        <f t="shared" ref="AJ20:AU20" si="54">+AJ6+AJ10+AJ11+AJ17</f>
        <v>2922.3629833333334</v>
      </c>
      <c r="AK20" s="341">
        <f t="shared" si="54"/>
        <v>2911.1820065833335</v>
      </c>
      <c r="AL20" s="341">
        <f t="shared" si="54"/>
        <v>2795.7784582829163</v>
      </c>
      <c r="AM20" s="341">
        <f t="shared" si="54"/>
        <v>2992.818725574331</v>
      </c>
      <c r="AN20" s="341">
        <f t="shared" si="54"/>
        <v>3148.1358608688697</v>
      </c>
      <c r="AO20" s="341">
        <f t="shared" si="54"/>
        <v>3240.8962485065472</v>
      </c>
      <c r="AP20" s="341">
        <f t="shared" si="54"/>
        <v>3375.2662714157468</v>
      </c>
      <c r="AQ20" s="341">
        <f t="shared" si="54"/>
        <v>3342.9123111061585</v>
      </c>
      <c r="AR20" s="341">
        <f t="shared" si="54"/>
        <v>2423.7249999999999</v>
      </c>
      <c r="AS20" s="341">
        <f t="shared" si="54"/>
        <v>2361.2249999999999</v>
      </c>
      <c r="AT20" s="341">
        <f t="shared" si="54"/>
        <v>2298.7249999999999</v>
      </c>
      <c r="AU20" s="341">
        <f t="shared" si="54"/>
        <v>2215.3916666666669</v>
      </c>
      <c r="AV20" s="342">
        <f>SUM(AJ20:AU20)</f>
        <v>34028.419532337895</v>
      </c>
      <c r="AW20" s="339"/>
      <c r="AX20" s="341">
        <f t="shared" ref="AX20:BI20" si="55">+AX6+AX10+AX11+AX17</f>
        <v>2197.6685333333335</v>
      </c>
      <c r="AY20" s="341">
        <f t="shared" si="55"/>
        <v>2179.9454000000001</v>
      </c>
      <c r="AZ20" s="341">
        <f t="shared" si="55"/>
        <v>2162.2222666666662</v>
      </c>
      <c r="BA20" s="341">
        <f t="shared" si="55"/>
        <v>2144.4991333333332</v>
      </c>
      <c r="BB20" s="341">
        <f t="shared" si="55"/>
        <v>2126.7759999999994</v>
      </c>
      <c r="BC20" s="341">
        <f t="shared" si="55"/>
        <v>2109.0528666666664</v>
      </c>
      <c r="BD20" s="341">
        <f t="shared" si="55"/>
        <v>2091.3297333333326</v>
      </c>
      <c r="BE20" s="341">
        <f t="shared" si="55"/>
        <v>2073.6065999999992</v>
      </c>
      <c r="BF20" s="341">
        <f t="shared" si="55"/>
        <v>2055.8834666666658</v>
      </c>
      <c r="BG20" s="341">
        <f t="shared" si="55"/>
        <v>2038.1603333333323</v>
      </c>
      <c r="BH20" s="341">
        <f t="shared" si="55"/>
        <v>2002.7140666666658</v>
      </c>
      <c r="BI20" s="341">
        <f t="shared" si="55"/>
        <v>1967.2677999999989</v>
      </c>
      <c r="BJ20" s="343">
        <f>SUM(AX20:BI20)</f>
        <v>25149.126199999995</v>
      </c>
      <c r="BK20" s="341"/>
      <c r="BL20" s="341">
        <f t="shared" ref="BL20:CJ20" si="56">+BL6+BL10+BL11+BL17</f>
        <v>1947.595121999999</v>
      </c>
      <c r="BM20" s="341">
        <f t="shared" si="56"/>
        <v>1927.9224439999991</v>
      </c>
      <c r="BN20" s="341">
        <f t="shared" si="56"/>
        <v>1908.2497659999992</v>
      </c>
      <c r="BO20" s="341">
        <f t="shared" si="56"/>
        <v>1888.5770879999993</v>
      </c>
      <c r="BP20" s="341">
        <f t="shared" si="56"/>
        <v>1868.9044099999992</v>
      </c>
      <c r="BQ20" s="341">
        <f t="shared" si="56"/>
        <v>1849.2317319999993</v>
      </c>
      <c r="BR20" s="341">
        <f t="shared" si="56"/>
        <v>1829.5590539999994</v>
      </c>
      <c r="BS20" s="341">
        <f t="shared" si="56"/>
        <v>1809.8863759999995</v>
      </c>
      <c r="BT20" s="341">
        <f t="shared" si="56"/>
        <v>1790.2136979999996</v>
      </c>
      <c r="BU20" s="341">
        <f t="shared" si="56"/>
        <v>1770.5410199999994</v>
      </c>
      <c r="BV20" s="341">
        <f t="shared" si="56"/>
        <v>1750.8683419999995</v>
      </c>
      <c r="BW20" s="341">
        <f t="shared" si="56"/>
        <v>1731.1956639999996</v>
      </c>
      <c r="BX20" s="344">
        <f>SUM(BL20:BW20)</f>
        <v>22072.744715999994</v>
      </c>
      <c r="BY20" s="341">
        <f t="shared" si="56"/>
        <v>1705.2277290399995</v>
      </c>
      <c r="BZ20" s="341">
        <f t="shared" si="56"/>
        <v>1679.2597940799994</v>
      </c>
      <c r="CA20" s="341">
        <f t="shared" si="56"/>
        <v>1653.2918591199996</v>
      </c>
      <c r="CB20" s="341">
        <f t="shared" si="56"/>
        <v>1627.3239241599995</v>
      </c>
      <c r="CC20" s="341">
        <f t="shared" si="56"/>
        <v>1601.3559891999994</v>
      </c>
      <c r="CD20" s="341">
        <f t="shared" si="56"/>
        <v>1575.3880542399993</v>
      </c>
      <c r="CE20" s="341">
        <f t="shared" si="56"/>
        <v>1549.4201192799992</v>
      </c>
      <c r="CF20" s="341">
        <f t="shared" si="56"/>
        <v>1523.4521843199991</v>
      </c>
      <c r="CG20" s="341">
        <f t="shared" si="56"/>
        <v>1497.4842493599992</v>
      </c>
      <c r="CH20" s="341">
        <f t="shared" si="56"/>
        <v>1471.5163143999991</v>
      </c>
      <c r="CI20" s="341">
        <f t="shared" si="56"/>
        <v>1445.5483794399991</v>
      </c>
      <c r="CJ20" s="341">
        <f t="shared" si="56"/>
        <v>1419.580444479999</v>
      </c>
      <c r="CK20" s="344">
        <f>CK6</f>
        <v>18748.849041119993</v>
      </c>
      <c r="CL20" s="341">
        <f t="shared" ref="CL20:CW20" si="57">+CL6+CL10+CL11+CL17</f>
        <v>1423.3944627733324</v>
      </c>
      <c r="CM20" s="341">
        <f t="shared" si="57"/>
        <v>1401.2405461066658</v>
      </c>
      <c r="CN20" s="341">
        <f t="shared" si="57"/>
        <v>1379.0866294399991</v>
      </c>
      <c r="CO20" s="341">
        <f t="shared" si="57"/>
        <v>1356.9327127733325</v>
      </c>
      <c r="CP20" s="341">
        <f t="shared" si="57"/>
        <v>1334.7787961066658</v>
      </c>
      <c r="CQ20" s="341">
        <f t="shared" si="57"/>
        <v>1312.6248794399992</v>
      </c>
      <c r="CR20" s="341">
        <f t="shared" si="57"/>
        <v>1290.4709627733325</v>
      </c>
      <c r="CS20" s="341">
        <f t="shared" si="57"/>
        <v>1268.3170461066657</v>
      </c>
      <c r="CT20" s="341">
        <f t="shared" si="57"/>
        <v>1246.163129439999</v>
      </c>
      <c r="CU20" s="341">
        <f t="shared" si="57"/>
        <v>1224.0092127733324</v>
      </c>
      <c r="CV20" s="341">
        <f t="shared" si="57"/>
        <v>1201.8552961066657</v>
      </c>
      <c r="CW20" s="341">
        <f t="shared" si="57"/>
        <v>1179.7013794399991</v>
      </c>
      <c r="CX20" s="344">
        <f>CX6</f>
        <v>15618.57505327999</v>
      </c>
      <c r="CY20" s="1000"/>
    </row>
    <row r="21" spans="1:106" ht="14.5" x14ac:dyDescent="0.4">
      <c r="H21" s="277"/>
      <c r="I21" s="278"/>
      <c r="J21" s="278"/>
      <c r="K21" s="278"/>
      <c r="L21" s="278"/>
      <c r="M21" s="278"/>
      <c r="N21" s="278"/>
      <c r="O21" s="278"/>
      <c r="P21" s="278"/>
      <c r="Q21" s="278"/>
      <c r="R21" s="278"/>
      <c r="S21" s="278"/>
      <c r="T21" s="280"/>
      <c r="U21" s="280"/>
      <c r="V21" s="278"/>
      <c r="W21" s="277"/>
      <c r="X21" s="278"/>
      <c r="Y21" s="278"/>
      <c r="Z21" s="278"/>
      <c r="AA21" s="278"/>
      <c r="AB21" s="278"/>
      <c r="AC21" s="278"/>
      <c r="AD21" s="278"/>
      <c r="AE21" s="278"/>
      <c r="AF21" s="278"/>
      <c r="AG21" s="277"/>
      <c r="AH21" s="280"/>
      <c r="AI21" s="280"/>
      <c r="AJ21" s="278"/>
      <c r="AK21" s="278"/>
      <c r="AL21" s="278"/>
      <c r="AM21" s="278"/>
      <c r="AN21" s="278"/>
      <c r="AO21" s="278"/>
      <c r="AP21" s="278"/>
      <c r="AQ21" s="278"/>
      <c r="AR21" s="278"/>
      <c r="AS21" s="278"/>
      <c r="AT21" s="278"/>
      <c r="AU21" s="278"/>
      <c r="AV21" s="280"/>
      <c r="AW21" s="280"/>
      <c r="AX21" s="278"/>
      <c r="AY21" s="278"/>
      <c r="AZ21" s="278"/>
      <c r="BA21" s="278"/>
      <c r="BB21" s="278"/>
      <c r="BC21" s="278"/>
      <c r="BD21" s="278"/>
      <c r="BE21" s="278"/>
      <c r="BF21" s="278"/>
      <c r="BG21" s="278"/>
      <c r="BH21" s="278"/>
      <c r="BI21" s="278"/>
      <c r="BJ21" s="280"/>
      <c r="BK21" s="278"/>
      <c r="BL21" s="278"/>
      <c r="BM21" s="278"/>
      <c r="BN21" s="278"/>
      <c r="BO21" s="278"/>
      <c r="BP21" s="278"/>
      <c r="BQ21" s="278"/>
      <c r="BR21" s="278"/>
      <c r="BS21" s="278"/>
      <c r="BT21" s="278"/>
      <c r="BU21" s="278"/>
      <c r="BV21" s="278"/>
      <c r="BW21" s="278"/>
      <c r="BX21" s="280"/>
      <c r="CK21" s="280"/>
      <c r="CX21" s="280"/>
      <c r="CY21" s="1005"/>
    </row>
    <row r="22" spans="1:106" customFormat="1" ht="15" x14ac:dyDescent="0.4">
      <c r="A22" s="194">
        <v>2000.21</v>
      </c>
      <c r="B22" s="267"/>
      <c r="C22" s="267" t="s">
        <v>505</v>
      </c>
      <c r="D22" s="267"/>
      <c r="E22" s="267"/>
      <c r="F22" s="268"/>
      <c r="G22" s="268"/>
      <c r="H22" s="296"/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345">
        <f>95840+5111</f>
        <v>100951</v>
      </c>
      <c r="T22" s="298">
        <f>S22</f>
        <v>100951</v>
      </c>
      <c r="U22" s="280"/>
      <c r="V22" s="278"/>
      <c r="W22" s="277"/>
      <c r="X22" s="278"/>
      <c r="Y22" s="278"/>
      <c r="Z22" s="278"/>
      <c r="AA22" s="278"/>
      <c r="AB22" s="278"/>
      <c r="AC22" s="278"/>
      <c r="AD22" s="278"/>
      <c r="AE22" s="278"/>
      <c r="AF22" s="278"/>
      <c r="AG22" s="277"/>
      <c r="AH22" s="280"/>
      <c r="AI22" s="280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80"/>
      <c r="AW22" s="280"/>
      <c r="AX22" s="278"/>
      <c r="AY22" s="278"/>
      <c r="AZ22" s="278"/>
      <c r="BA22" s="278"/>
      <c r="BB22" s="278"/>
      <c r="BC22" s="278"/>
      <c r="BD22" s="278"/>
      <c r="BE22" s="278"/>
      <c r="BF22" s="278"/>
      <c r="BG22" s="278"/>
      <c r="BH22" s="278"/>
      <c r="BI22" s="278"/>
      <c r="BJ22" s="280"/>
      <c r="BK22" s="278"/>
      <c r="BL22" s="278"/>
      <c r="BM22" s="278"/>
      <c r="BN22" s="278"/>
      <c r="BO22" s="278"/>
      <c r="BP22" s="278"/>
      <c r="BQ22" s="278"/>
      <c r="BR22" s="278"/>
      <c r="BS22" s="278"/>
      <c r="BT22" s="278"/>
      <c r="BU22" s="278"/>
      <c r="BV22" s="278"/>
      <c r="BW22" s="278"/>
      <c r="BX22" s="280"/>
      <c r="CK22" s="280"/>
      <c r="CX22" s="280"/>
      <c r="CY22" s="1005"/>
      <c r="CZ22" s="1006"/>
      <c r="DA22" s="1006"/>
      <c r="DB22" s="1006"/>
    </row>
    <row r="23" spans="1:106" ht="14.5" x14ac:dyDescent="0.4">
      <c r="A23" s="194" t="s">
        <v>506</v>
      </c>
      <c r="C23" s="30" t="s">
        <v>95</v>
      </c>
      <c r="H23" s="277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85">
        <v>7369.35</v>
      </c>
      <c r="T23" s="279">
        <f>S23</f>
        <v>7369.35</v>
      </c>
      <c r="U23" s="280"/>
      <c r="V23" s="278"/>
      <c r="W23" s="277"/>
      <c r="X23" s="278"/>
      <c r="Y23" s="278"/>
      <c r="Z23" s="278"/>
      <c r="AA23" s="278"/>
      <c r="AB23" s="278"/>
      <c r="AC23" s="278"/>
      <c r="AD23" s="278"/>
      <c r="AE23" s="278"/>
      <c r="AF23" s="278"/>
      <c r="AG23" s="277"/>
      <c r="AH23" s="280"/>
      <c r="AI23" s="280"/>
      <c r="AJ23" s="278"/>
      <c r="AK23" s="278"/>
      <c r="AL23" s="278"/>
      <c r="AM23" s="278"/>
      <c r="AN23" s="278"/>
      <c r="AO23" s="278"/>
      <c r="AP23" s="278"/>
      <c r="AQ23" s="278"/>
      <c r="AR23" s="278"/>
      <c r="AS23" s="278"/>
      <c r="AT23" s="278"/>
      <c r="AU23" s="278"/>
      <c r="AV23" s="280"/>
      <c r="AW23" s="280"/>
      <c r="AX23" s="278"/>
      <c r="AY23" s="278"/>
      <c r="AZ23" s="278"/>
      <c r="BA23" s="278"/>
      <c r="BB23" s="278"/>
      <c r="BC23" s="278"/>
      <c r="BD23" s="278"/>
      <c r="BE23" s="278"/>
      <c r="BF23" s="278"/>
      <c r="BG23" s="278"/>
      <c r="BH23" s="278"/>
      <c r="BI23" s="278"/>
      <c r="BJ23" s="280"/>
      <c r="BK23" s="278"/>
      <c r="BL23" s="278"/>
      <c r="BM23" s="278"/>
      <c r="BN23" s="278"/>
      <c r="BO23" s="278"/>
      <c r="BP23" s="278"/>
      <c r="BQ23" s="278"/>
      <c r="BR23" s="278"/>
      <c r="BS23" s="278"/>
      <c r="BT23" s="278"/>
      <c r="BU23" s="278"/>
      <c r="BV23" s="278"/>
      <c r="BW23" s="278"/>
      <c r="BX23" s="280"/>
      <c r="CK23" s="280"/>
      <c r="CX23" s="280"/>
      <c r="CY23" s="1005"/>
    </row>
    <row r="24" spans="1:106" ht="43.5" x14ac:dyDescent="0.4">
      <c r="A24" s="346" t="s">
        <v>507</v>
      </c>
      <c r="B24" s="22"/>
      <c r="C24" s="22" t="s">
        <v>508</v>
      </c>
      <c r="D24" s="22"/>
      <c r="E24" s="22"/>
      <c r="F24" s="347"/>
      <c r="G24" s="347"/>
      <c r="H24" s="23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348">
        <f>-(343.71+24728.56-3761.25-12434.91+2564.16-804.87-263.77-3105.17)</f>
        <v>-7266.4599999999991</v>
      </c>
      <c r="T24" s="349">
        <f>S24</f>
        <v>-7266.4599999999991</v>
      </c>
      <c r="U24" s="26"/>
      <c r="V24" s="24"/>
      <c r="W24" s="23"/>
      <c r="X24" s="24"/>
      <c r="Y24" s="24"/>
      <c r="Z24" s="24"/>
      <c r="AA24" s="24"/>
      <c r="AB24" s="24"/>
      <c r="AC24" s="24"/>
      <c r="AD24" s="24"/>
      <c r="AE24" s="24"/>
      <c r="AF24" s="24"/>
      <c r="AG24" s="23"/>
      <c r="AH24" s="26"/>
      <c r="AI24" s="26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6"/>
      <c r="AW24" s="26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6"/>
      <c r="BK24" s="24"/>
      <c r="BL24" s="24"/>
      <c r="BM24" s="24"/>
      <c r="BN24" s="24"/>
      <c r="BO24" s="24"/>
      <c r="BP24" s="24"/>
      <c r="BQ24" s="24"/>
      <c r="BR24" s="24"/>
      <c r="BS24" s="326">
        <f>0</f>
        <v>0</v>
      </c>
      <c r="BT24" s="24"/>
      <c r="BU24" s="24"/>
      <c r="BV24" s="24"/>
      <c r="BW24" s="24"/>
      <c r="BX24" s="26"/>
      <c r="CK24" s="26"/>
      <c r="CX24" s="26"/>
      <c r="CY24" s="862"/>
    </row>
    <row r="25" spans="1:106" ht="14.5" x14ac:dyDescent="0.4">
      <c r="A25" s="194">
        <v>3040</v>
      </c>
      <c r="C25" s="30" t="s">
        <v>96</v>
      </c>
      <c r="H25" s="277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85">
        <v>2600</v>
      </c>
      <c r="T25" s="279">
        <f>S25</f>
        <v>2600</v>
      </c>
      <c r="U25" s="280"/>
      <c r="V25" s="278"/>
      <c r="W25" s="277"/>
      <c r="X25" s="278"/>
      <c r="Y25" s="278"/>
      <c r="Z25" s="278"/>
      <c r="AA25" s="278"/>
      <c r="AB25" s="278"/>
      <c r="AC25" s="278"/>
      <c r="AD25" s="278"/>
      <c r="AE25" s="278"/>
      <c r="AF25" s="278"/>
      <c r="AG25" s="277"/>
      <c r="AH25" s="280"/>
      <c r="AI25" s="280"/>
      <c r="AJ25" s="278"/>
      <c r="AK25" s="278"/>
      <c r="AL25" s="278"/>
      <c r="AM25" s="278"/>
      <c r="AN25" s="278"/>
      <c r="AO25" s="278"/>
      <c r="AP25" s="278"/>
      <c r="AQ25" s="278"/>
      <c r="AR25" s="278"/>
      <c r="AS25" s="278"/>
      <c r="AT25" s="278"/>
      <c r="AU25" s="278"/>
      <c r="AV25" s="280"/>
      <c r="AW25" s="280"/>
      <c r="AX25" s="278"/>
      <c r="AY25" s="278"/>
      <c r="AZ25" s="278"/>
      <c r="BA25" s="278"/>
      <c r="BB25" s="278"/>
      <c r="BC25" s="278"/>
      <c r="BD25" s="278"/>
      <c r="BE25" s="278"/>
      <c r="BF25" s="278"/>
      <c r="BG25" s="278"/>
      <c r="BH25" s="278"/>
      <c r="BI25" s="278"/>
      <c r="BJ25" s="280"/>
      <c r="BK25" s="278"/>
      <c r="BL25" s="278"/>
      <c r="BM25" s="278"/>
      <c r="BN25" s="278"/>
      <c r="BO25" s="278"/>
      <c r="BP25" s="278"/>
      <c r="BQ25" s="278"/>
      <c r="BR25" s="278"/>
      <c r="BS25" s="278"/>
      <c r="BT25" s="278"/>
      <c r="BU25" s="278"/>
      <c r="BV25" s="278"/>
      <c r="BW25" s="278"/>
      <c r="BX25" s="280"/>
      <c r="CK25" s="280"/>
      <c r="CX25" s="280"/>
      <c r="CY25" s="1005"/>
    </row>
    <row r="26" spans="1:106" ht="14.5" x14ac:dyDescent="0.4">
      <c r="A26" s="194" t="s">
        <v>509</v>
      </c>
      <c r="B26" s="313"/>
      <c r="C26" s="313" t="s">
        <v>510</v>
      </c>
      <c r="D26" s="313"/>
      <c r="E26" s="313"/>
      <c r="F26" s="314"/>
      <c r="G26" s="314"/>
      <c r="H26" s="316"/>
      <c r="I26" s="317"/>
      <c r="J26" s="317"/>
      <c r="K26" s="317"/>
      <c r="L26" s="317"/>
      <c r="M26" s="317"/>
      <c r="N26" s="317"/>
      <c r="O26" s="317"/>
      <c r="P26" s="317"/>
      <c r="Q26" s="317"/>
      <c r="R26" s="317"/>
      <c r="S26" s="350">
        <f>20753.91+1679.71</f>
        <v>22433.62</v>
      </c>
      <c r="T26" s="318">
        <f>S26</f>
        <v>22433.62</v>
      </c>
      <c r="U26" s="280"/>
      <c r="V26" s="278"/>
      <c r="W26" s="277"/>
      <c r="X26" s="278"/>
      <c r="Y26" s="278"/>
      <c r="Z26" s="278"/>
      <c r="AA26" s="278"/>
      <c r="AB26" s="278"/>
      <c r="AC26" s="278"/>
      <c r="AD26" s="278"/>
      <c r="AE26" s="278"/>
      <c r="AF26" s="278"/>
      <c r="AG26" s="277"/>
      <c r="AH26" s="280"/>
      <c r="AI26" s="280"/>
      <c r="AJ26" s="278"/>
      <c r="AK26" s="278"/>
      <c r="AL26" s="278"/>
      <c r="AM26" s="278"/>
      <c r="AN26" s="278"/>
      <c r="AO26" s="278"/>
      <c r="AP26" s="278"/>
      <c r="AQ26" s="278"/>
      <c r="AR26" s="278"/>
      <c r="AS26" s="278"/>
      <c r="AT26" s="278"/>
      <c r="AU26" s="278"/>
      <c r="AV26" s="280"/>
      <c r="AW26" s="280"/>
      <c r="AX26" s="278"/>
      <c r="AY26" s="278"/>
      <c r="AZ26" s="278"/>
      <c r="BA26" s="278"/>
      <c r="BB26" s="278"/>
      <c r="BC26" s="278"/>
      <c r="BD26" s="278"/>
      <c r="BE26" s="278"/>
      <c r="BF26" s="278"/>
      <c r="BG26" s="278"/>
      <c r="BH26" s="278"/>
      <c r="BI26" s="278"/>
      <c r="BJ26" s="280"/>
      <c r="BK26" s="278"/>
      <c r="BL26" s="278"/>
      <c r="BM26" s="278"/>
      <c r="BN26" s="278"/>
      <c r="BO26" s="278"/>
      <c r="BP26" s="278"/>
      <c r="BQ26" s="278"/>
      <c r="BR26" s="278"/>
      <c r="BS26" s="278"/>
      <c r="BT26" s="278"/>
      <c r="BU26" s="278"/>
      <c r="BV26" s="278"/>
      <c r="BW26" s="278"/>
      <c r="BX26" s="280"/>
      <c r="CK26" s="280"/>
      <c r="CX26" s="280"/>
      <c r="CY26" s="1005"/>
    </row>
    <row r="27" spans="1:106" ht="15" x14ac:dyDescent="0.4"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  <c r="T27" s="351"/>
      <c r="U27" s="351"/>
      <c r="V27" s="351"/>
      <c r="W27" s="351"/>
      <c r="X27" s="351"/>
      <c r="Y27" s="351"/>
      <c r="Z27" s="351"/>
      <c r="AA27" s="351"/>
      <c r="AB27" s="351"/>
      <c r="AC27" s="351"/>
      <c r="AD27" s="351"/>
      <c r="AE27" s="351"/>
      <c r="AF27" s="351"/>
      <c r="AG27" s="351"/>
      <c r="AH27" s="351"/>
      <c r="AI27" s="351"/>
      <c r="AJ27" s="351"/>
      <c r="AK27" s="351"/>
      <c r="AL27" s="351"/>
      <c r="AM27" s="351"/>
      <c r="AN27" s="351"/>
      <c r="AO27" s="351"/>
      <c r="AP27" s="351"/>
      <c r="AQ27" s="351"/>
      <c r="AR27" s="351"/>
      <c r="AS27" s="351"/>
      <c r="AT27" s="351"/>
      <c r="AU27" s="351"/>
      <c r="AV27" s="351"/>
      <c r="AW27" s="351"/>
      <c r="AX27" s="351"/>
      <c r="AY27" s="351"/>
      <c r="AZ27" s="351"/>
      <c r="BA27" s="351"/>
      <c r="BB27" s="351"/>
      <c r="BC27" s="351"/>
      <c r="BD27" s="351"/>
      <c r="BE27" s="351"/>
      <c r="BF27" s="351"/>
      <c r="BG27" s="351"/>
      <c r="BH27" s="351"/>
      <c r="BI27" s="351"/>
      <c r="BJ27" s="351"/>
      <c r="BK27" s="351"/>
      <c r="BL27" s="351"/>
      <c r="BM27" s="351"/>
      <c r="BN27" s="351"/>
      <c r="BO27" s="351"/>
      <c r="BP27" s="351"/>
      <c r="BQ27" s="351"/>
      <c r="BR27" s="351"/>
      <c r="BS27" s="351"/>
      <c r="BT27" s="351"/>
      <c r="BU27" s="351"/>
      <c r="BV27" s="351"/>
      <c r="BW27" s="351"/>
      <c r="BX27" s="351"/>
      <c r="CK27" s="351"/>
      <c r="CX27" s="351"/>
      <c r="CY27" s="1007"/>
    </row>
    <row r="28" spans="1:106" ht="14.5" x14ac:dyDescent="0.4">
      <c r="B28" s="352" t="s">
        <v>511</v>
      </c>
      <c r="C28" s="353"/>
      <c r="D28" s="263"/>
      <c r="E28" s="263"/>
      <c r="F28" s="354"/>
      <c r="G28" s="354"/>
      <c r="H28" s="354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355"/>
      <c r="U28" s="355"/>
      <c r="V28" s="263"/>
    </row>
    <row r="29" spans="1:106" ht="14.5" x14ac:dyDescent="0.4">
      <c r="B29" s="27" t="s">
        <v>365</v>
      </c>
      <c r="C29" s="27"/>
      <c r="D29" s="27"/>
      <c r="E29" s="27"/>
      <c r="F29" s="184"/>
    </row>
    <row r="30" spans="1:106" ht="14.5" x14ac:dyDescent="0.4">
      <c r="B30" s="28" t="s">
        <v>366</v>
      </c>
      <c r="C30" s="189"/>
      <c r="D30" s="189"/>
      <c r="E30" s="189"/>
      <c r="F30" s="190"/>
    </row>
    <row r="31" spans="1:106" ht="14.5" x14ac:dyDescent="0.4">
      <c r="B31" s="29" t="s">
        <v>367</v>
      </c>
      <c r="C31" s="29"/>
      <c r="D31" s="29"/>
      <c r="E31" s="29"/>
      <c r="F31" s="191"/>
    </row>
    <row r="34" spans="8:19" ht="14.5" x14ac:dyDescent="0.4">
      <c r="H34" s="136"/>
    </row>
    <row r="35" spans="8:19" ht="14.5" x14ac:dyDescent="0.4">
      <c r="H35" s="136"/>
    </row>
    <row r="36" spans="8:19" ht="14.5" x14ac:dyDescent="0.4">
      <c r="H36" s="136"/>
      <c r="S36" s="33"/>
    </row>
  </sheetData>
  <mergeCells count="6">
    <mergeCell ref="BL1:BW1"/>
    <mergeCell ref="B2:C2"/>
    <mergeCell ref="H1:S1"/>
    <mergeCell ref="V1:AG1"/>
    <mergeCell ref="AJ1:AU1"/>
    <mergeCell ref="AX1:BI1"/>
  </mergeCells>
  <pageMargins left="0.7" right="0.7" top="0.78749999999999998" bottom="0.78749999999999998" header="0.511811023622047" footer="0.511811023622047"/>
  <pageSetup paperSize="9" scale="66" orientation="landscape" horizontalDpi="300" verticalDpi="300" r:id="rId1"/>
  <colBreaks count="4" manualBreakCount="4">
    <brk id="20" max="1048575" man="1"/>
    <brk id="34" max="1048575" man="1"/>
    <brk id="48" max="1048575" man="1"/>
    <brk id="62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53"/>
  <sheetViews>
    <sheetView showGridLines="0" view="pageBreakPreview" zoomScale="75" zoomScaleNormal="100" zoomScaleSheetLayoutView="75" workbookViewId="0">
      <pane xSplit="4" ySplit="3" topLeftCell="AZ22" activePane="bottomRight" state="frozen"/>
      <selection pane="topRight" activeCell="AN1" sqref="AN1"/>
      <selection pane="bottomLeft" activeCell="A4" sqref="A4"/>
      <selection pane="bottomRight" activeCell="P31" sqref="P31"/>
    </sheetView>
  </sheetViews>
  <sheetFormatPr baseColWidth="10" defaultColWidth="10.54296875" defaultRowHeight="14.25" customHeight="1" x14ac:dyDescent="0.4"/>
  <cols>
    <col min="1" max="1" width="17.54296875" style="73" customWidth="1"/>
    <col min="2" max="2" width="48.1796875" style="30" customWidth="1"/>
    <col min="3" max="3" width="9.453125" style="194" customWidth="1"/>
    <col min="4" max="4" width="9" style="194" customWidth="1"/>
    <col min="5" max="5" width="2" style="194" customWidth="1"/>
    <col min="6" max="6" width="7.7265625" style="31" customWidth="1"/>
    <col min="7" max="7" width="9.1796875" style="36" customWidth="1"/>
    <col min="8" max="17" width="7.7265625" style="31" customWidth="1"/>
    <col min="18" max="18" width="10.1796875" style="31" customWidth="1"/>
    <col min="19" max="19" width="10.7265625" style="31" customWidth="1"/>
    <col min="20" max="20" width="9.54296875" style="36" customWidth="1"/>
    <col min="21" max="21" width="8.453125" style="31" customWidth="1"/>
    <col min="22" max="22" width="10.1796875" style="31" customWidth="1"/>
    <col min="23" max="24" width="9.26953125" style="31" customWidth="1"/>
    <col min="25" max="25" width="10" style="31" customWidth="1"/>
    <col min="26" max="26" width="8.54296875" style="31" customWidth="1"/>
    <col min="27" max="27" width="9.1796875" style="31" customWidth="1"/>
    <col min="28" max="28" width="8.81640625" style="31" customWidth="1"/>
    <col min="29" max="29" width="7.7265625" style="31" customWidth="1"/>
    <col min="30" max="30" width="9.1796875" style="31" customWidth="1"/>
    <col min="31" max="32" width="7.7265625" style="31" customWidth="1"/>
    <col min="33" max="33" width="12.1796875" style="31" customWidth="1"/>
    <col min="34" max="34" width="10.54296875" style="36"/>
    <col min="35" max="35" width="8.453125" style="31" customWidth="1"/>
    <col min="36" max="37" width="7.7265625" style="31" customWidth="1"/>
    <col min="38" max="38" width="9" style="31" customWidth="1"/>
    <col min="39" max="47" width="7.7265625" style="31" customWidth="1"/>
    <col min="48" max="48" width="10.54296875" style="36"/>
    <col min="49" max="49" width="8.26953125" style="31" customWidth="1"/>
    <col min="50" max="50" width="8.453125" style="31" customWidth="1"/>
    <col min="51" max="61" width="7.7265625" style="31" customWidth="1"/>
    <col min="62" max="62" width="10.54296875" style="36"/>
    <col min="63" max="63" width="8.26953125" style="31" customWidth="1"/>
    <col min="64" max="75" width="7.7265625" style="31" customWidth="1"/>
    <col min="76" max="76" width="10.7265625" style="36" customWidth="1"/>
    <col min="77" max="77" width="8.26953125" style="31" customWidth="1"/>
    <col min="78" max="89" width="7.7265625" style="31" customWidth="1"/>
    <col min="90" max="90" width="10.7265625" style="36" customWidth="1"/>
    <col min="91" max="91" width="8.26953125" style="31" customWidth="1"/>
    <col min="92" max="103" width="7.7265625" style="31" customWidth="1"/>
    <col min="104" max="104" width="10.7265625" style="36" customWidth="1"/>
    <col min="105" max="16373" width="10.54296875" style="30"/>
    <col min="16374" max="16384" width="11.54296875" style="30" customWidth="1"/>
  </cols>
  <sheetData>
    <row r="1" spans="1:104 16374:16384" s="35" customFormat="1" ht="14.5" x14ac:dyDescent="0.4">
      <c r="A1" s="356" t="s">
        <v>332</v>
      </c>
      <c r="B1" s="35" t="s">
        <v>512</v>
      </c>
      <c r="C1" s="37"/>
      <c r="D1" s="37"/>
      <c r="E1" s="37"/>
      <c r="F1" s="357">
        <v>2023</v>
      </c>
      <c r="G1" s="357">
        <v>2023</v>
      </c>
      <c r="H1" s="1058" t="s">
        <v>513</v>
      </c>
      <c r="I1" s="1058"/>
      <c r="J1" s="1058"/>
      <c r="K1" s="1058"/>
      <c r="L1" s="1058"/>
      <c r="M1" s="1058"/>
      <c r="N1" s="1058"/>
      <c r="O1" s="1058"/>
      <c r="P1" s="1058"/>
      <c r="Q1" s="1058"/>
      <c r="R1" s="1058"/>
      <c r="S1" s="1058"/>
      <c r="T1" s="198" t="s">
        <v>513</v>
      </c>
      <c r="U1" s="31" t="s">
        <v>334</v>
      </c>
      <c r="V1" s="1062">
        <v>2025</v>
      </c>
      <c r="W1" s="1062"/>
      <c r="X1" s="1062"/>
      <c r="Y1" s="1062"/>
      <c r="Z1" s="1062"/>
      <c r="AA1" s="1062"/>
      <c r="AB1" s="1062"/>
      <c r="AC1" s="1062"/>
      <c r="AD1" s="1062"/>
      <c r="AE1" s="1062"/>
      <c r="AF1" s="1062"/>
      <c r="AG1" s="1062"/>
      <c r="AH1" s="199">
        <v>2025</v>
      </c>
      <c r="AI1" s="31" t="s">
        <v>334</v>
      </c>
      <c r="AJ1" s="1063">
        <v>2026</v>
      </c>
      <c r="AK1" s="1063"/>
      <c r="AL1" s="1063"/>
      <c r="AM1" s="1063"/>
      <c r="AN1" s="1063"/>
      <c r="AO1" s="1063"/>
      <c r="AP1" s="1063"/>
      <c r="AQ1" s="1063"/>
      <c r="AR1" s="1063"/>
      <c r="AS1" s="1063"/>
      <c r="AT1" s="1063"/>
      <c r="AU1" s="1063"/>
      <c r="AV1" s="200">
        <v>2026</v>
      </c>
      <c r="AW1" s="31" t="s">
        <v>334</v>
      </c>
      <c r="AX1" s="1064">
        <v>2027</v>
      </c>
      <c r="AY1" s="1064"/>
      <c r="AZ1" s="1064"/>
      <c r="BA1" s="1064"/>
      <c r="BB1" s="1064"/>
      <c r="BC1" s="1064"/>
      <c r="BD1" s="1064"/>
      <c r="BE1" s="1064"/>
      <c r="BF1" s="1064"/>
      <c r="BG1" s="1064"/>
      <c r="BH1" s="1064"/>
      <c r="BI1" s="1064"/>
      <c r="BJ1" s="358">
        <v>2027</v>
      </c>
      <c r="BK1" s="31" t="s">
        <v>334</v>
      </c>
      <c r="BL1" s="1061">
        <v>2028</v>
      </c>
      <c r="BM1" s="1061"/>
      <c r="BN1" s="1061"/>
      <c r="BO1" s="1061"/>
      <c r="BP1" s="1061"/>
      <c r="BQ1" s="1061"/>
      <c r="BR1" s="1061"/>
      <c r="BS1" s="1061"/>
      <c r="BT1" s="1061"/>
      <c r="BU1" s="1061"/>
      <c r="BV1" s="1061"/>
      <c r="BW1" s="1061"/>
      <c r="BX1" s="359">
        <v>2028</v>
      </c>
      <c r="BY1" s="31" t="s">
        <v>334</v>
      </c>
      <c r="BZ1" s="1061">
        <v>2029</v>
      </c>
      <c r="CA1" s="1061"/>
      <c r="CB1" s="1061"/>
      <c r="CC1" s="1061"/>
      <c r="CD1" s="1061"/>
      <c r="CE1" s="1061"/>
      <c r="CF1" s="1061"/>
      <c r="CG1" s="1061"/>
      <c r="CH1" s="1061"/>
      <c r="CI1" s="1061"/>
      <c r="CJ1" s="1061"/>
      <c r="CK1" s="1061"/>
      <c r="CL1" s="359">
        <v>2029</v>
      </c>
      <c r="CM1" s="31" t="s">
        <v>334</v>
      </c>
      <c r="CN1" s="1061">
        <v>2030</v>
      </c>
      <c r="CO1" s="1061"/>
      <c r="CP1" s="1061"/>
      <c r="CQ1" s="1061"/>
      <c r="CR1" s="1061"/>
      <c r="CS1" s="1061"/>
      <c r="CT1" s="1061"/>
      <c r="CU1" s="1061"/>
      <c r="CV1" s="1061"/>
      <c r="CW1" s="1061"/>
      <c r="CX1" s="1061"/>
      <c r="CY1" s="1061"/>
      <c r="CZ1" s="359">
        <v>2030</v>
      </c>
    </row>
    <row r="2" spans="1:104 16374:16384" ht="14.5" x14ac:dyDescent="0.4">
      <c r="B2" s="44" t="s">
        <v>514</v>
      </c>
      <c r="E2" s="360"/>
      <c r="F2" s="31">
        <v>1</v>
      </c>
      <c r="G2" s="357" t="s">
        <v>336</v>
      </c>
      <c r="H2" s="31">
        <v>2</v>
      </c>
      <c r="I2" s="31">
        <v>3</v>
      </c>
      <c r="J2" s="31">
        <v>4</v>
      </c>
      <c r="K2" s="31">
        <v>5</v>
      </c>
      <c r="L2" s="31">
        <v>6</v>
      </c>
      <c r="M2" s="31">
        <v>7</v>
      </c>
      <c r="N2" s="31">
        <v>8</v>
      </c>
      <c r="O2" s="31">
        <v>9</v>
      </c>
      <c r="P2" s="31">
        <v>10</v>
      </c>
      <c r="Q2" s="31">
        <v>11</v>
      </c>
      <c r="R2" s="31">
        <v>12</v>
      </c>
      <c r="S2" s="31">
        <v>1</v>
      </c>
      <c r="T2" s="361" t="s">
        <v>336</v>
      </c>
      <c r="U2" s="362">
        <v>0.04</v>
      </c>
      <c r="V2" s="31">
        <v>2</v>
      </c>
      <c r="W2" s="31">
        <v>3</v>
      </c>
      <c r="X2" s="31">
        <v>4</v>
      </c>
      <c r="Y2" s="31">
        <v>5</v>
      </c>
      <c r="Z2" s="31">
        <v>6</v>
      </c>
      <c r="AA2" s="31">
        <v>7</v>
      </c>
      <c r="AB2" s="31">
        <v>8</v>
      </c>
      <c r="AC2" s="31">
        <v>9</v>
      </c>
      <c r="AD2" s="31">
        <v>10</v>
      </c>
      <c r="AE2" s="31">
        <v>11</v>
      </c>
      <c r="AF2" s="31">
        <v>12</v>
      </c>
      <c r="AG2" s="31">
        <v>1</v>
      </c>
      <c r="AH2" s="199" t="s">
        <v>336</v>
      </c>
      <c r="AI2" s="362">
        <v>3.3000000000000002E-2</v>
      </c>
      <c r="AJ2" s="31">
        <v>2</v>
      </c>
      <c r="AK2" s="31">
        <v>3</v>
      </c>
      <c r="AL2" s="31">
        <v>4</v>
      </c>
      <c r="AM2" s="31">
        <v>5</v>
      </c>
      <c r="AN2" s="31">
        <v>6</v>
      </c>
      <c r="AO2" s="31">
        <v>7</v>
      </c>
      <c r="AP2" s="31">
        <v>8</v>
      </c>
      <c r="AQ2" s="31">
        <v>9</v>
      </c>
      <c r="AR2" s="31">
        <v>10</v>
      </c>
      <c r="AS2" s="31">
        <v>11</v>
      </c>
      <c r="AT2" s="31">
        <v>12</v>
      </c>
      <c r="AU2" s="31">
        <v>1</v>
      </c>
      <c r="AV2" s="200" t="s">
        <v>336</v>
      </c>
      <c r="AW2" s="362">
        <v>0.03</v>
      </c>
      <c r="AX2" s="31">
        <v>2</v>
      </c>
      <c r="AY2" s="31">
        <v>3</v>
      </c>
      <c r="AZ2" s="31">
        <v>4</v>
      </c>
      <c r="BA2" s="31">
        <v>5</v>
      </c>
      <c r="BB2" s="31">
        <v>6</v>
      </c>
      <c r="BC2" s="31">
        <v>7</v>
      </c>
      <c r="BD2" s="31">
        <v>8</v>
      </c>
      <c r="BE2" s="31">
        <v>9</v>
      </c>
      <c r="BF2" s="31">
        <v>10</v>
      </c>
      <c r="BG2" s="31">
        <v>11</v>
      </c>
      <c r="BH2" s="31">
        <v>12</v>
      </c>
      <c r="BI2" s="31">
        <v>1</v>
      </c>
      <c r="BJ2" s="358" t="s">
        <v>336</v>
      </c>
      <c r="BK2" s="362">
        <v>2.8000000000000001E-2</v>
      </c>
      <c r="BL2" s="31">
        <v>2</v>
      </c>
      <c r="BM2" s="31">
        <v>3</v>
      </c>
      <c r="BN2" s="31">
        <v>4</v>
      </c>
      <c r="BO2" s="31">
        <v>5</v>
      </c>
      <c r="BP2" s="31">
        <v>6</v>
      </c>
      <c r="BQ2" s="31">
        <v>7</v>
      </c>
      <c r="BR2" s="31">
        <v>8</v>
      </c>
      <c r="BS2" s="31">
        <v>9</v>
      </c>
      <c r="BT2" s="31">
        <v>10</v>
      </c>
      <c r="BU2" s="31">
        <v>11</v>
      </c>
      <c r="BV2" s="31">
        <v>12</v>
      </c>
      <c r="BW2" s="31">
        <v>1</v>
      </c>
      <c r="BX2" s="359" t="s">
        <v>336</v>
      </c>
      <c r="BY2" s="362">
        <v>2.8000000000000001E-2</v>
      </c>
      <c r="BZ2" s="31">
        <v>2</v>
      </c>
      <c r="CA2" s="31">
        <v>3</v>
      </c>
      <c r="CB2" s="31">
        <v>4</v>
      </c>
      <c r="CC2" s="31">
        <v>5</v>
      </c>
      <c r="CD2" s="31">
        <v>6</v>
      </c>
      <c r="CE2" s="31">
        <v>7</v>
      </c>
      <c r="CF2" s="31">
        <v>8</v>
      </c>
      <c r="CG2" s="31">
        <v>9</v>
      </c>
      <c r="CH2" s="31">
        <v>10</v>
      </c>
      <c r="CI2" s="31">
        <v>11</v>
      </c>
      <c r="CJ2" s="31">
        <v>12</v>
      </c>
      <c r="CK2" s="31">
        <v>1</v>
      </c>
      <c r="CL2" s="359" t="s">
        <v>336</v>
      </c>
      <c r="CM2" s="362">
        <v>2.8000000000000001E-2</v>
      </c>
      <c r="CN2" s="31">
        <v>2</v>
      </c>
      <c r="CO2" s="31">
        <v>3</v>
      </c>
      <c r="CP2" s="31">
        <v>4</v>
      </c>
      <c r="CQ2" s="31">
        <v>5</v>
      </c>
      <c r="CR2" s="31">
        <v>6</v>
      </c>
      <c r="CS2" s="31">
        <v>7</v>
      </c>
      <c r="CT2" s="31">
        <v>8</v>
      </c>
      <c r="CU2" s="31">
        <v>9</v>
      </c>
      <c r="CV2" s="31">
        <v>10</v>
      </c>
      <c r="CW2" s="31">
        <v>11</v>
      </c>
      <c r="CX2" s="31">
        <v>12</v>
      </c>
      <c r="CY2" s="31">
        <v>1</v>
      </c>
      <c r="CZ2" s="359" t="s">
        <v>336</v>
      </c>
    </row>
    <row r="3" spans="1:104 16374:16384" ht="14.5" x14ac:dyDescent="0.4">
      <c r="B3" s="363" t="s">
        <v>515</v>
      </c>
      <c r="C3" s="364"/>
      <c r="D3" s="364"/>
      <c r="E3" s="365"/>
      <c r="F3" s="366"/>
      <c r="G3" s="367"/>
      <c r="H3" s="368"/>
      <c r="I3" s="368"/>
      <c r="J3" s="368"/>
      <c r="K3" s="368"/>
      <c r="L3" s="268"/>
      <c r="M3" s="268"/>
      <c r="N3" s="268"/>
      <c r="O3" s="268"/>
      <c r="P3" s="268"/>
      <c r="Q3" s="268"/>
      <c r="R3" s="268"/>
      <c r="S3" s="268"/>
      <c r="T3" s="369"/>
      <c r="U3" s="370"/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371"/>
      <c r="AI3" s="370"/>
      <c r="AJ3" s="268"/>
      <c r="AK3" s="268"/>
      <c r="AL3" s="268"/>
      <c r="AM3" s="268"/>
      <c r="AN3" s="268"/>
      <c r="AO3" s="268"/>
      <c r="AP3" s="268"/>
      <c r="AQ3" s="268"/>
      <c r="AR3" s="268"/>
      <c r="AS3" s="268"/>
      <c r="AT3" s="268"/>
      <c r="AU3" s="268"/>
      <c r="AV3" s="372"/>
      <c r="AW3" s="370"/>
      <c r="AX3" s="268"/>
      <c r="AY3" s="268"/>
      <c r="AZ3" s="268"/>
      <c r="BA3" s="268"/>
      <c r="BB3" s="268"/>
      <c r="BC3" s="268"/>
      <c r="BD3" s="268"/>
      <c r="BE3" s="268"/>
      <c r="BF3" s="268"/>
      <c r="BG3" s="268"/>
      <c r="BH3" s="268"/>
      <c r="BI3" s="268"/>
      <c r="BJ3" s="373"/>
      <c r="BK3" s="370"/>
      <c r="BL3" s="268"/>
      <c r="BM3" s="268"/>
      <c r="BN3" s="268"/>
      <c r="BO3" s="268"/>
      <c r="BP3" s="268"/>
      <c r="BQ3" s="268"/>
      <c r="BR3" s="268"/>
      <c r="BS3" s="268"/>
      <c r="BT3" s="268"/>
      <c r="BU3" s="268"/>
      <c r="BV3" s="268"/>
      <c r="BW3" s="268"/>
      <c r="BX3" s="374"/>
      <c r="BY3" s="370"/>
      <c r="BZ3" s="268"/>
      <c r="CA3" s="268"/>
      <c r="CB3" s="268"/>
      <c r="CC3" s="268"/>
      <c r="CD3" s="268"/>
      <c r="CE3" s="268"/>
      <c r="CF3" s="268"/>
      <c r="CG3" s="268"/>
      <c r="CH3" s="268"/>
      <c r="CI3" s="268"/>
      <c r="CJ3" s="268"/>
      <c r="CK3" s="268"/>
      <c r="CL3" s="374"/>
      <c r="CM3" s="370"/>
      <c r="CN3" s="268"/>
      <c r="CO3" s="268"/>
      <c r="CP3" s="268"/>
      <c r="CQ3" s="268"/>
      <c r="CR3" s="268"/>
      <c r="CS3" s="268"/>
      <c r="CT3" s="268"/>
      <c r="CU3" s="268"/>
      <c r="CV3" s="268"/>
      <c r="CW3" s="268"/>
      <c r="CX3" s="268"/>
      <c r="CY3" s="268"/>
      <c r="CZ3" s="374"/>
    </row>
    <row r="4" spans="1:104 16374:16384" ht="14.5" x14ac:dyDescent="0.4">
      <c r="B4" s="375" t="s">
        <v>516</v>
      </c>
      <c r="C4" s="376"/>
      <c r="D4" s="376"/>
      <c r="E4" s="376"/>
      <c r="F4" s="377"/>
      <c r="G4" s="378">
        <f>F4</f>
        <v>0</v>
      </c>
      <c r="H4" s="379">
        <f>Personal!G17</f>
        <v>0.64935064935064934</v>
      </c>
      <c r="I4" s="379">
        <f>Personal!H17</f>
        <v>0.64935064935064934</v>
      </c>
      <c r="J4" s="379">
        <f>Personal!I17</f>
        <v>0.64935064935064934</v>
      </c>
      <c r="K4" s="379">
        <f>Personal!J17</f>
        <v>1.2987012987012987</v>
      </c>
      <c r="L4" s="379">
        <f>Personal!K17</f>
        <v>1.2987012987012987</v>
      </c>
      <c r="M4" s="379">
        <f>Personal!L17</f>
        <v>1.2987012987012987</v>
      </c>
      <c r="N4" s="380">
        <f>Personal!M27</f>
        <v>1.8</v>
      </c>
      <c r="O4" s="380">
        <f>Personal!N27</f>
        <v>2.5</v>
      </c>
      <c r="P4" s="380">
        <f>Personal!O27</f>
        <v>1.9</v>
      </c>
      <c r="Q4" s="380">
        <f>Personal!P27</f>
        <v>1.9</v>
      </c>
      <c r="R4" s="380">
        <f>Personal!Q27</f>
        <v>1.9</v>
      </c>
      <c r="S4" s="380">
        <f>Personal!R27</f>
        <v>1.9</v>
      </c>
      <c r="T4" s="381">
        <f>S4</f>
        <v>1.9</v>
      </c>
      <c r="U4" s="382">
        <f>1+U2</f>
        <v>1.04</v>
      </c>
      <c r="V4" s="383">
        <f>Personal!U17</f>
        <v>2.1038961038961039</v>
      </c>
      <c r="W4" s="383">
        <f>Personal!V17</f>
        <v>2.1038961038961039</v>
      </c>
      <c r="X4" s="383">
        <f>Personal!W17</f>
        <v>2.1038961038961039</v>
      </c>
      <c r="Y4" s="383">
        <f>Personal!X17</f>
        <v>2.1038961038961039</v>
      </c>
      <c r="Z4" s="383">
        <f>Personal!Y17</f>
        <v>2.1038961038961039</v>
      </c>
      <c r="AA4" s="383">
        <f>Personal!Z17</f>
        <v>2.5974025974025974</v>
      </c>
      <c r="AB4" s="383">
        <f>Personal!AA17</f>
        <v>2.5974025974025974</v>
      </c>
      <c r="AC4" s="383">
        <f>Personal!AB17</f>
        <v>3.116883116883117</v>
      </c>
      <c r="AD4" s="383">
        <f>Personal!AC17</f>
        <v>4.2857142857142856</v>
      </c>
      <c r="AE4" s="383">
        <f>Personal!AD17</f>
        <v>4.2857142857142856</v>
      </c>
      <c r="AF4" s="383">
        <f>Personal!AE17</f>
        <v>4.2857142857142856</v>
      </c>
      <c r="AG4" s="383">
        <f>Personal!AF17</f>
        <v>3.7662337662337664</v>
      </c>
      <c r="AH4" s="384">
        <f>AG4</f>
        <v>3.7662337662337664</v>
      </c>
      <c r="AI4" s="382">
        <f>1+AI2</f>
        <v>1.0329999999999999</v>
      </c>
      <c r="AJ4" s="385">
        <f>Personal!AI17</f>
        <v>3.7662337662337664</v>
      </c>
      <c r="AK4" s="385">
        <f>Personal!AJ17</f>
        <v>3.7662337662337664</v>
      </c>
      <c r="AL4" s="385">
        <f>Personal!AK17</f>
        <v>3.7662337662337664</v>
      </c>
      <c r="AM4" s="385">
        <f>Personal!AL17</f>
        <v>3.7662337662337664</v>
      </c>
      <c r="AN4" s="385">
        <f>Personal!AM17</f>
        <v>3.7662337662337664</v>
      </c>
      <c r="AO4" s="385">
        <f>Personal!AN17</f>
        <v>3.7662337662337664</v>
      </c>
      <c r="AP4" s="385">
        <f>Personal!AO17</f>
        <v>3.7662337662337664</v>
      </c>
      <c r="AQ4" s="385">
        <f>Personal!AP17</f>
        <v>3.7662337662337664</v>
      </c>
      <c r="AR4" s="385">
        <f>Personal!AQ17</f>
        <v>3.7662337662337664</v>
      </c>
      <c r="AS4" s="385">
        <f>Personal!AR17</f>
        <v>3.7662337662337664</v>
      </c>
      <c r="AT4" s="385">
        <f>Personal!AS17</f>
        <v>3.7662337662337664</v>
      </c>
      <c r="AU4" s="385">
        <f>Personal!AT17</f>
        <v>3.7662337662337664</v>
      </c>
      <c r="AV4" s="386">
        <f t="shared" ref="AV4" si="0">AU4</f>
        <v>3.7662337662337664</v>
      </c>
      <c r="AW4" s="382">
        <f>1+AW2</f>
        <v>1.03</v>
      </c>
      <c r="AX4" s="385">
        <f>Personal!AW17</f>
        <v>3.7662337662337664</v>
      </c>
      <c r="AY4" s="385">
        <f>Personal!AX17</f>
        <v>3.7662337662337664</v>
      </c>
      <c r="AZ4" s="385">
        <f>Personal!AY17</f>
        <v>3.7662337662337664</v>
      </c>
      <c r="BA4" s="385">
        <f>Personal!AZ17</f>
        <v>3.7662337662337664</v>
      </c>
      <c r="BB4" s="385">
        <f>Personal!BA17</f>
        <v>3.7662337662337664</v>
      </c>
      <c r="BC4" s="385">
        <f>Personal!BB17</f>
        <v>3.7662337662337664</v>
      </c>
      <c r="BD4" s="385">
        <f>Personal!BC17</f>
        <v>3.8961038961038961</v>
      </c>
      <c r="BE4" s="385">
        <f>Personal!BD17</f>
        <v>3.8961038961038961</v>
      </c>
      <c r="BF4" s="385">
        <f>Personal!BE17</f>
        <v>3.8961038961038961</v>
      </c>
      <c r="BG4" s="385">
        <f>Personal!BF17</f>
        <v>3.8961038961038961</v>
      </c>
      <c r="BH4" s="385">
        <f>Personal!BG17</f>
        <v>3.8961038961038961</v>
      </c>
      <c r="BI4" s="385">
        <f>Personal!BH17</f>
        <v>3.8961038961038961</v>
      </c>
      <c r="BJ4" s="387">
        <f t="shared" ref="BJ4" si="1">BI4</f>
        <v>3.8961038961038961</v>
      </c>
      <c r="BK4" s="382">
        <f>1+BK2</f>
        <v>1.028</v>
      </c>
      <c r="BL4" s="385">
        <f>Personal!BJ17</f>
        <v>3.8961038961038961</v>
      </c>
      <c r="BM4" s="385">
        <f>Personal!BK17</f>
        <v>3.8961038961038961</v>
      </c>
      <c r="BN4" s="385">
        <f>Personal!BL17</f>
        <v>3.8961038961038961</v>
      </c>
      <c r="BO4" s="385">
        <f>Personal!BM17</f>
        <v>3.8961038961038961</v>
      </c>
      <c r="BP4" s="385">
        <f>Personal!BN17</f>
        <v>3.8961038961038961</v>
      </c>
      <c r="BQ4" s="385">
        <f>Personal!BO17</f>
        <v>3.8961038961038961</v>
      </c>
      <c r="BR4" s="385">
        <f>Personal!BP17</f>
        <v>3.8961038961038961</v>
      </c>
      <c r="BS4" s="385">
        <f>Personal!BQ17</f>
        <v>3.8961038961038961</v>
      </c>
      <c r="BT4" s="385">
        <f>Personal!BR17</f>
        <v>3.8961038961038961</v>
      </c>
      <c r="BU4" s="385">
        <f>Personal!BS17</f>
        <v>3.8961038961038961</v>
      </c>
      <c r="BV4" s="385">
        <f>Personal!BT17</f>
        <v>3.8961038961038961</v>
      </c>
      <c r="BW4" s="385">
        <f>Personal!BU17</f>
        <v>3.8961038961038961</v>
      </c>
      <c r="BX4" s="388">
        <f t="shared" ref="BX4" si="2">BW4</f>
        <v>3.8961038961038961</v>
      </c>
      <c r="BY4" s="382">
        <f>1+BY2</f>
        <v>1.028</v>
      </c>
      <c r="BZ4" s="385">
        <f>Personal!BW17</f>
        <v>4.0259740259740262</v>
      </c>
      <c r="CA4" s="385">
        <f>Personal!BX17</f>
        <v>4.0259740259740262</v>
      </c>
      <c r="CB4" s="385">
        <f>Personal!BY17</f>
        <v>4.0259740259740262</v>
      </c>
      <c r="CC4" s="385">
        <f>Personal!BZ17</f>
        <v>4.0259740259740262</v>
      </c>
      <c r="CD4" s="385">
        <f>Personal!CA17</f>
        <v>4.0259740259740262</v>
      </c>
      <c r="CE4" s="385">
        <f>Personal!CB17</f>
        <v>4.0259740259740262</v>
      </c>
      <c r="CF4" s="385">
        <f>Personal!CC17</f>
        <v>4.0259740259740262</v>
      </c>
      <c r="CG4" s="385">
        <f>Personal!CD17</f>
        <v>4.0259740259740262</v>
      </c>
      <c r="CH4" s="385">
        <f>Personal!CE17</f>
        <v>4.0259740259740262</v>
      </c>
      <c r="CI4" s="385">
        <f>Personal!CF17</f>
        <v>4.0259740259740262</v>
      </c>
      <c r="CJ4" s="385">
        <f>Personal!CG17</f>
        <v>4.0259740259740262</v>
      </c>
      <c r="CK4" s="385">
        <f>Personal!CH17</f>
        <v>4.0259740259740262</v>
      </c>
      <c r="CL4" s="388">
        <f t="shared" ref="CL4" si="3">CK4</f>
        <v>4.0259740259740262</v>
      </c>
      <c r="CM4" s="382">
        <f>1+CM2</f>
        <v>1.028</v>
      </c>
      <c r="CN4" s="385">
        <f>Personal!CJ17</f>
        <v>4.0259740259740262</v>
      </c>
      <c r="CO4" s="385">
        <f>Personal!CK17</f>
        <v>4.0259740259740262</v>
      </c>
      <c r="CP4" s="385">
        <f>Personal!CL17</f>
        <v>4.0259740259740262</v>
      </c>
      <c r="CQ4" s="385">
        <f>Personal!CM17</f>
        <v>4.0259740259740262</v>
      </c>
      <c r="CR4" s="385">
        <f>Personal!CN17</f>
        <v>4.0259740259740262</v>
      </c>
      <c r="CS4" s="385">
        <f>Personal!CO17</f>
        <v>4.0259740259740262</v>
      </c>
      <c r="CT4" s="385">
        <f>Personal!CP17</f>
        <v>4.0259740259740262</v>
      </c>
      <c r="CU4" s="385">
        <f>Personal!CQ17</f>
        <v>4.0259740259740262</v>
      </c>
      <c r="CV4" s="385">
        <f>Personal!CR17</f>
        <v>4.0259740259740262</v>
      </c>
      <c r="CW4" s="385">
        <f>Personal!CS17</f>
        <v>4.0259740259740262</v>
      </c>
      <c r="CX4" s="385">
        <f>Personal!CT17</f>
        <v>4.0259740259740262</v>
      </c>
      <c r="CY4" s="385">
        <f>Personal!CU17</f>
        <v>4.0259740259740262</v>
      </c>
      <c r="CZ4" s="388">
        <f t="shared" ref="CZ4" si="4">CY4</f>
        <v>4.0259740259740262</v>
      </c>
    </row>
    <row r="5" spans="1:104 16374:16384" s="404" customFormat="1" ht="14.5" x14ac:dyDescent="0.4">
      <c r="A5" s="389"/>
      <c r="B5" s="390" t="s">
        <v>517</v>
      </c>
      <c r="C5" s="391"/>
      <c r="D5" s="392">
        <v>0.72</v>
      </c>
      <c r="E5" s="393"/>
      <c r="F5" s="394"/>
      <c r="G5" s="395">
        <f>F5</f>
        <v>0</v>
      </c>
      <c r="H5" s="396">
        <v>7593.53</v>
      </c>
      <c r="I5" s="396">
        <v>2482.39</v>
      </c>
      <c r="J5" s="396">
        <v>0</v>
      </c>
      <c r="K5" s="396">
        <v>2711.4</v>
      </c>
      <c r="L5" s="396">
        <v>8817.14</v>
      </c>
      <c r="M5" s="396">
        <v>5422.81</v>
      </c>
      <c r="N5" s="396">
        <v>7665.62</v>
      </c>
      <c r="O5" s="396">
        <v>11754.31</v>
      </c>
      <c r="P5" s="396">
        <v>9694.07</v>
      </c>
      <c r="Q5" s="396">
        <v>16594.439999999999</v>
      </c>
      <c r="R5" s="396">
        <v>9700.07</v>
      </c>
      <c r="S5" s="396">
        <v>13678</v>
      </c>
      <c r="T5" s="397">
        <f>SUM(H5:S5)</f>
        <v>96113.78</v>
      </c>
      <c r="U5" s="398"/>
      <c r="V5" s="399">
        <f>Personal!U23</f>
        <v>7683.4131428571118</v>
      </c>
      <c r="W5" s="399">
        <f>Personal!V23</f>
        <v>7683.4131428571118</v>
      </c>
      <c r="X5" s="399">
        <f>Personal!W23</f>
        <v>7683.4131428571118</v>
      </c>
      <c r="Y5" s="399">
        <f>Personal!X23</f>
        <v>7683.4131428571118</v>
      </c>
      <c r="Z5" s="399">
        <f>Personal!Y23</f>
        <v>15366.826285714294</v>
      </c>
      <c r="AA5" s="399">
        <f>Personal!Z23</f>
        <v>9860.4185142857041</v>
      </c>
      <c r="AB5" s="399">
        <f>Personal!AA23</f>
        <v>9860.4185142857041</v>
      </c>
      <c r="AC5" s="399">
        <f>Personal!AB23</f>
        <v>11250.022628571407</v>
      </c>
      <c r="AD5" s="399">
        <f>Personal!AC23</f>
        <v>15502.083428571408</v>
      </c>
      <c r="AE5" s="399">
        <f>Personal!AD23</f>
        <v>26777.440885714273</v>
      </c>
      <c r="AF5" s="399">
        <f>Personal!AE23</f>
        <v>15502.083428571408</v>
      </c>
      <c r="AG5" s="399">
        <f>Personal!AF23</f>
        <v>13352.113028571408</v>
      </c>
      <c r="AH5" s="400">
        <f>SUM(V5:AG5)</f>
        <v>148205.05928571406</v>
      </c>
      <c r="AI5" s="398"/>
      <c r="AJ5" s="399">
        <f>Personal!AI23</f>
        <v>14152.732758514263</v>
      </c>
      <c r="AK5" s="399">
        <f>Personal!AJ23</f>
        <v>14152.732758514263</v>
      </c>
      <c r="AL5" s="399">
        <f>Personal!AK23</f>
        <v>16672.732758514263</v>
      </c>
      <c r="AM5" s="399">
        <f>Personal!AL23</f>
        <v>14152.732758514263</v>
      </c>
      <c r="AN5" s="399">
        <f>Personal!AM23</f>
        <v>27585.465517028526</v>
      </c>
      <c r="AO5" s="399">
        <f>Personal!AN23</f>
        <v>13792.732758514263</v>
      </c>
      <c r="AP5" s="399">
        <f>Personal!AO23</f>
        <v>13792.732758514263</v>
      </c>
      <c r="AQ5" s="399">
        <f>Personal!AP23</f>
        <v>13792.732758514263</v>
      </c>
      <c r="AR5" s="399">
        <f>Personal!AQ23</f>
        <v>13792.732758514263</v>
      </c>
      <c r="AS5" s="399">
        <f>Personal!AR23</f>
        <v>27585.465517028526</v>
      </c>
      <c r="AT5" s="399">
        <f>Personal!AS23</f>
        <v>13792.732758514263</v>
      </c>
      <c r="AU5" s="399">
        <f>Personal!AT23</f>
        <v>13792.732758514263</v>
      </c>
      <c r="AV5" s="401">
        <f>SUM(AJ5:AU5)</f>
        <v>197058.25861919968</v>
      </c>
      <c r="AW5" s="398"/>
      <c r="AX5" s="399">
        <f>Personal!BJ23</f>
        <v>15107.893607612321</v>
      </c>
      <c r="AY5" s="399">
        <f>Personal!BK23</f>
        <v>15107.893607612321</v>
      </c>
      <c r="AZ5" s="399">
        <f>Personal!BL23</f>
        <v>15107.893607612321</v>
      </c>
      <c r="BA5" s="399">
        <f>Personal!BM23</f>
        <v>15107.893607612321</v>
      </c>
      <c r="BB5" s="399">
        <f>Personal!BN23</f>
        <v>30215.787215224642</v>
      </c>
      <c r="BC5" s="399">
        <f>Personal!BO23</f>
        <v>15107.893607612321</v>
      </c>
      <c r="BD5" s="399">
        <f>Personal!BP23</f>
        <v>15107.893607612321</v>
      </c>
      <c r="BE5" s="399">
        <f>Personal!BQ23</f>
        <v>15107.893607612321</v>
      </c>
      <c r="BF5" s="399">
        <f>Personal!BR23</f>
        <v>15107.893607612321</v>
      </c>
      <c r="BG5" s="399">
        <f>Personal!BS23</f>
        <v>30215.787215224642</v>
      </c>
      <c r="BH5" s="399">
        <f>Personal!BT23</f>
        <v>15107.893607612321</v>
      </c>
      <c r="BI5" s="399">
        <f>Personal!BU23</f>
        <v>15107.893607612321</v>
      </c>
      <c r="BJ5" s="402">
        <f>SUM(AX5:BI5)</f>
        <v>211510.51050657249</v>
      </c>
      <c r="BK5" s="398"/>
      <c r="BL5" s="399">
        <f>Personal!BJ23</f>
        <v>15107.893607612321</v>
      </c>
      <c r="BM5" s="399">
        <f>Personal!BK23</f>
        <v>15107.893607612321</v>
      </c>
      <c r="BN5" s="399">
        <f>Personal!BL23</f>
        <v>15107.893607612321</v>
      </c>
      <c r="BO5" s="399">
        <f>Personal!BM23</f>
        <v>15107.893607612321</v>
      </c>
      <c r="BP5" s="399">
        <f>Personal!BN23</f>
        <v>30215.787215224642</v>
      </c>
      <c r="BQ5" s="399">
        <f>Personal!BO23</f>
        <v>15107.893607612321</v>
      </c>
      <c r="BR5" s="399">
        <f>Personal!BP23</f>
        <v>15107.893607612321</v>
      </c>
      <c r="BS5" s="399">
        <f>Personal!BQ23</f>
        <v>15107.893607612321</v>
      </c>
      <c r="BT5" s="399">
        <f>Personal!BR23</f>
        <v>15107.893607612321</v>
      </c>
      <c r="BU5" s="399">
        <f>Personal!BS23</f>
        <v>30215.787215224642</v>
      </c>
      <c r="BV5" s="399">
        <f>Personal!BT23</f>
        <v>15107.893607612321</v>
      </c>
      <c r="BW5" s="399">
        <f>Personal!BU23</f>
        <v>15107.893607612321</v>
      </c>
      <c r="BX5" s="403">
        <f>SUM(BL5:BW5)</f>
        <v>211510.51050657249</v>
      </c>
      <c r="BY5" s="398"/>
      <c r="BZ5" s="399">
        <f>Personal!BW23</f>
        <v>16048.611782912982</v>
      </c>
      <c r="CA5" s="399">
        <f>Personal!BX23</f>
        <v>16048.611782912982</v>
      </c>
      <c r="CB5" s="399">
        <f>Personal!BY23</f>
        <v>16048.611782912982</v>
      </c>
      <c r="CC5" s="399">
        <f>Personal!BZ23</f>
        <v>16048.611782912982</v>
      </c>
      <c r="CD5" s="399">
        <f>Personal!CA23</f>
        <v>32097.223565825963</v>
      </c>
      <c r="CE5" s="399">
        <f>Personal!CB23</f>
        <v>16048.611782912982</v>
      </c>
      <c r="CF5" s="399">
        <f>Personal!CC23</f>
        <v>16048.611782912982</v>
      </c>
      <c r="CG5" s="399">
        <f>Personal!CD23</f>
        <v>16048.611782912982</v>
      </c>
      <c r="CH5" s="399">
        <f>Personal!CE23</f>
        <v>16048.611782912982</v>
      </c>
      <c r="CI5" s="399">
        <f>Personal!CF23</f>
        <v>32097.223565825963</v>
      </c>
      <c r="CJ5" s="399">
        <f>Personal!CG23</f>
        <v>16048.611782912982</v>
      </c>
      <c r="CK5" s="399">
        <f>Personal!CH23</f>
        <v>16048.611782912982</v>
      </c>
      <c r="CL5" s="403">
        <f>SUM(BZ5:CK5)</f>
        <v>224680.56496078175</v>
      </c>
      <c r="CM5" s="398"/>
      <c r="CN5" s="399">
        <f>Personal!CJ23</f>
        <v>16497.972912834546</v>
      </c>
      <c r="CO5" s="399">
        <f>Personal!CK23</f>
        <v>16497.972912834546</v>
      </c>
      <c r="CP5" s="399">
        <f>Personal!CL23</f>
        <v>16497.972912834546</v>
      </c>
      <c r="CQ5" s="399">
        <f>Personal!CM23</f>
        <v>16497.972912834546</v>
      </c>
      <c r="CR5" s="399">
        <f>Personal!CN23</f>
        <v>32995.945825669092</v>
      </c>
      <c r="CS5" s="399">
        <f>Personal!CO23</f>
        <v>16497.972912834546</v>
      </c>
      <c r="CT5" s="399">
        <f>Personal!CP23</f>
        <v>16497.972912834546</v>
      </c>
      <c r="CU5" s="399">
        <f>Personal!CQ23</f>
        <v>16497.972912834546</v>
      </c>
      <c r="CV5" s="399">
        <f>Personal!CR23</f>
        <v>16497.972912834546</v>
      </c>
      <c r="CW5" s="399">
        <f>Personal!CS23</f>
        <v>32995.945825669092</v>
      </c>
      <c r="CX5" s="399">
        <f>Personal!CT23</f>
        <v>16497.972912834546</v>
      </c>
      <c r="CY5" s="399">
        <f>Personal!CU23</f>
        <v>16497.972912834546</v>
      </c>
      <c r="CZ5" s="403">
        <f>SUM(CN5:CY5)</f>
        <v>230971.62077968367</v>
      </c>
    </row>
    <row r="6" spans="1:104 16374:16384" s="404" customFormat="1" ht="13.5" customHeight="1" x14ac:dyDescent="0.4">
      <c r="A6" s="389"/>
      <c r="B6" s="405" t="s">
        <v>518</v>
      </c>
      <c r="C6" s="406"/>
      <c r="D6" s="407">
        <v>0.28000000000000003</v>
      </c>
      <c r="E6" s="408"/>
      <c r="F6" s="409"/>
      <c r="G6" s="410"/>
      <c r="H6" s="411"/>
      <c r="I6" s="411"/>
      <c r="J6" s="411"/>
      <c r="K6" s="411"/>
      <c r="L6" s="411"/>
      <c r="M6" s="411"/>
      <c r="N6" s="411"/>
      <c r="O6" s="411"/>
      <c r="P6" s="411"/>
      <c r="Q6" s="411"/>
      <c r="R6" s="411"/>
      <c r="S6" s="411">
        <f>S5*0.28</f>
        <v>3829.84</v>
      </c>
      <c r="T6" s="412"/>
      <c r="U6" s="413"/>
      <c r="V6" s="414">
        <f>Personal!U24</f>
        <v>2987.9939999999883</v>
      </c>
      <c r="W6" s="414">
        <f>Personal!V24</f>
        <v>2987.9939999999883</v>
      </c>
      <c r="X6" s="414">
        <f>Personal!W24</f>
        <v>2987.9939999999883</v>
      </c>
      <c r="Y6" s="414">
        <f>Personal!X24</f>
        <v>2987.9939999999883</v>
      </c>
      <c r="Z6" s="414">
        <f>Personal!Y24</f>
        <v>5975.9880000000048</v>
      </c>
      <c r="AA6" s="414">
        <f>Personal!Z24</f>
        <v>3834.6071999999967</v>
      </c>
      <c r="AB6" s="414">
        <f>Personal!AA24</f>
        <v>3834.6071999999967</v>
      </c>
      <c r="AC6" s="414">
        <f>Personal!AB24</f>
        <v>4375.0087999999923</v>
      </c>
      <c r="AD6" s="414">
        <f>Personal!AC24</f>
        <v>6028.5879999999925</v>
      </c>
      <c r="AE6" s="414">
        <f>Personal!AD24</f>
        <v>10413.449233333329</v>
      </c>
      <c r="AF6" s="414">
        <f>Personal!AE24</f>
        <v>6028.5879999999925</v>
      </c>
      <c r="AG6" s="414">
        <f>Personal!AF24</f>
        <v>5192.4883999999929</v>
      </c>
      <c r="AH6" s="400">
        <f>SUM(V6:AG6)</f>
        <v>57635.300833333247</v>
      </c>
      <c r="AI6" s="413"/>
      <c r="AJ6" s="399">
        <f>Personal!AI24</f>
        <v>5503.8405171999921</v>
      </c>
      <c r="AK6" s="399">
        <f>Personal!AJ24</f>
        <v>5503.8405171999921</v>
      </c>
      <c r="AL6" s="399">
        <f>Personal!AK24</f>
        <v>6483.8405171999921</v>
      </c>
      <c r="AM6" s="399">
        <f>Personal!AL24</f>
        <v>5503.8405171999921</v>
      </c>
      <c r="AN6" s="399">
        <f>Personal!AM24</f>
        <v>10727.681034399984</v>
      </c>
      <c r="AO6" s="399">
        <f>Personal!AN24</f>
        <v>5363.8405171999921</v>
      </c>
      <c r="AP6" s="399">
        <f>Personal!AO24</f>
        <v>5363.8405171999921</v>
      </c>
      <c r="AQ6" s="399">
        <f>Personal!AP24</f>
        <v>5363.8405171999921</v>
      </c>
      <c r="AR6" s="399">
        <f>Personal!AQ24</f>
        <v>5363.8405171999921</v>
      </c>
      <c r="AS6" s="399">
        <f>Personal!AR24</f>
        <v>10727.681034399984</v>
      </c>
      <c r="AT6" s="399">
        <f>Personal!AS24</f>
        <v>5363.8405171999921</v>
      </c>
      <c r="AU6" s="399">
        <f>Personal!AT24</f>
        <v>5363.8405171999921</v>
      </c>
      <c r="AV6" s="401">
        <f>SUM(AJ6:AU6)</f>
        <v>76633.767240799891</v>
      </c>
      <c r="AW6" s="413"/>
      <c r="AX6" s="399">
        <f>Personal!BJ24</f>
        <v>5875.2919585159034</v>
      </c>
      <c r="AY6" s="399">
        <f>Personal!BK24</f>
        <v>5875.2919585159034</v>
      </c>
      <c r="AZ6" s="399">
        <f>Personal!BL24</f>
        <v>5875.2919585159034</v>
      </c>
      <c r="BA6" s="399">
        <f>Personal!BM24</f>
        <v>5875.2919585159034</v>
      </c>
      <c r="BB6" s="399">
        <f>Personal!BN24</f>
        <v>11750.583917031807</v>
      </c>
      <c r="BC6" s="399">
        <f>Personal!BO24</f>
        <v>5875.2919585159034</v>
      </c>
      <c r="BD6" s="399">
        <f>Personal!BP24</f>
        <v>5875.2919585159034</v>
      </c>
      <c r="BE6" s="399">
        <f>Personal!BQ24</f>
        <v>5875.2919585159034</v>
      </c>
      <c r="BF6" s="399">
        <f>Personal!BR24</f>
        <v>5875.2919585159034</v>
      </c>
      <c r="BG6" s="399">
        <f>Personal!BS24</f>
        <v>11750.583917031807</v>
      </c>
      <c r="BH6" s="399">
        <f>Personal!BT24</f>
        <v>5875.2919585159034</v>
      </c>
      <c r="BI6" s="399">
        <f>Personal!BU24</f>
        <v>5875.2919585159034</v>
      </c>
      <c r="BJ6" s="412"/>
      <c r="BK6" s="413"/>
      <c r="BL6" s="399">
        <f>Personal!BJ24</f>
        <v>5875.2919585159034</v>
      </c>
      <c r="BM6" s="399">
        <f>Personal!BK24</f>
        <v>5875.2919585159034</v>
      </c>
      <c r="BN6" s="399">
        <f>Personal!BL24</f>
        <v>5875.2919585159034</v>
      </c>
      <c r="BO6" s="399">
        <f>Personal!BM24</f>
        <v>5875.2919585159034</v>
      </c>
      <c r="BP6" s="399">
        <f>Personal!BN24</f>
        <v>11750.583917031807</v>
      </c>
      <c r="BQ6" s="399">
        <f>Personal!BO24</f>
        <v>5875.2919585159034</v>
      </c>
      <c r="BR6" s="399">
        <f>Personal!BP24</f>
        <v>5875.2919585159034</v>
      </c>
      <c r="BS6" s="399">
        <f>Personal!BQ24</f>
        <v>5875.2919585159034</v>
      </c>
      <c r="BT6" s="399">
        <f>Personal!BR24</f>
        <v>5875.2919585159034</v>
      </c>
      <c r="BU6" s="399">
        <f>Personal!BS24</f>
        <v>11750.583917031807</v>
      </c>
      <c r="BV6" s="399">
        <f>Personal!BT24</f>
        <v>5875.2919585159034</v>
      </c>
      <c r="BW6" s="399">
        <f>Personal!BU24</f>
        <v>5875.2919585159034</v>
      </c>
      <c r="BX6" s="403">
        <f>SUM(BL6:BW6)</f>
        <v>82254.087419222662</v>
      </c>
      <c r="BY6" s="413"/>
      <c r="BZ6" s="399">
        <f>Personal!BW24</f>
        <v>6241.1268044661601</v>
      </c>
      <c r="CA6" s="399">
        <f>Personal!BX24</f>
        <v>6241.1268044661601</v>
      </c>
      <c r="CB6" s="399">
        <f>Personal!BY24</f>
        <v>6241.1268044661601</v>
      </c>
      <c r="CC6" s="399">
        <f>Personal!BZ24</f>
        <v>6241.1268044661601</v>
      </c>
      <c r="CD6" s="399">
        <f>Personal!CA24</f>
        <v>12482.25360893232</v>
      </c>
      <c r="CE6" s="399">
        <f>Personal!CB24</f>
        <v>6241.1268044661601</v>
      </c>
      <c r="CF6" s="399">
        <f>Personal!CC24</f>
        <v>6241.1268044661601</v>
      </c>
      <c r="CG6" s="399">
        <f>Personal!CD24</f>
        <v>6241.1268044661601</v>
      </c>
      <c r="CH6" s="399">
        <f>Personal!CE24</f>
        <v>6241.1268044661601</v>
      </c>
      <c r="CI6" s="399">
        <f>Personal!CF24</f>
        <v>12482.25360893232</v>
      </c>
      <c r="CJ6" s="399">
        <f>Personal!CG24</f>
        <v>6241.1268044661601</v>
      </c>
      <c r="CK6" s="399">
        <f>Personal!CH24</f>
        <v>6241.1268044661601</v>
      </c>
      <c r="CL6" s="403">
        <f>SUM(BZ6:CK6)</f>
        <v>87375.775262526251</v>
      </c>
      <c r="CM6" s="413"/>
      <c r="CN6" s="414">
        <f>Personal!CJ24</f>
        <v>6415.8783549912141</v>
      </c>
      <c r="CO6" s="414">
        <f>Personal!CK24</f>
        <v>6415.8783549912141</v>
      </c>
      <c r="CP6" s="414">
        <f>Personal!CL24</f>
        <v>6415.8783549912141</v>
      </c>
      <c r="CQ6" s="414">
        <f>Personal!CM24</f>
        <v>6415.8783549912141</v>
      </c>
      <c r="CR6" s="414">
        <f>Personal!CN24</f>
        <v>12831.756709982428</v>
      </c>
      <c r="CS6" s="414">
        <f>Personal!CO24</f>
        <v>6415.8783549912141</v>
      </c>
      <c r="CT6" s="414">
        <f>Personal!CP24</f>
        <v>6415.8783549912141</v>
      </c>
      <c r="CU6" s="414">
        <f>Personal!CQ24</f>
        <v>6415.8783549912141</v>
      </c>
      <c r="CV6" s="414">
        <f>Personal!CR24</f>
        <v>6415.8783549912141</v>
      </c>
      <c r="CW6" s="414">
        <f>Personal!CS24</f>
        <v>12831.756709982428</v>
      </c>
      <c r="CX6" s="414">
        <f>Personal!CT24</f>
        <v>6415.8783549912141</v>
      </c>
      <c r="CY6" s="414">
        <f>Personal!CU24</f>
        <v>6415.8783549912141</v>
      </c>
      <c r="CZ6" s="403">
        <f>SUM(CN6:CY6)</f>
        <v>89822.296969876988</v>
      </c>
    </row>
    <row r="7" spans="1:104 16374:16384" s="404" customFormat="1" ht="14.5" x14ac:dyDescent="0.4">
      <c r="A7" s="389" t="s">
        <v>519</v>
      </c>
      <c r="B7" s="415" t="s">
        <v>520</v>
      </c>
      <c r="C7" s="416"/>
      <c r="D7" s="416"/>
      <c r="E7" s="417"/>
      <c r="F7" s="418">
        <f>SUM(F5:F6)</f>
        <v>0</v>
      </c>
      <c r="G7" s="419">
        <f>F7</f>
        <v>0</v>
      </c>
      <c r="H7" s="420">
        <f t="shared" ref="H7:S7" si="5">SUM(H5:H6)</f>
        <v>7593.53</v>
      </c>
      <c r="I7" s="420">
        <f t="shared" si="5"/>
        <v>2482.39</v>
      </c>
      <c r="J7" s="420">
        <f t="shared" si="5"/>
        <v>0</v>
      </c>
      <c r="K7" s="420">
        <f t="shared" si="5"/>
        <v>2711.4</v>
      </c>
      <c r="L7" s="420">
        <f t="shared" si="5"/>
        <v>8817.14</v>
      </c>
      <c r="M7" s="420">
        <f t="shared" si="5"/>
        <v>5422.81</v>
      </c>
      <c r="N7" s="420">
        <f t="shared" si="5"/>
        <v>7665.62</v>
      </c>
      <c r="O7" s="420">
        <f t="shared" si="5"/>
        <v>11754.31</v>
      </c>
      <c r="P7" s="420">
        <f t="shared" si="5"/>
        <v>9694.07</v>
      </c>
      <c r="Q7" s="420">
        <f t="shared" si="5"/>
        <v>16594.439999999999</v>
      </c>
      <c r="R7" s="420">
        <f t="shared" si="5"/>
        <v>9700.07</v>
      </c>
      <c r="S7" s="420">
        <f t="shared" si="5"/>
        <v>17507.84</v>
      </c>
      <c r="T7" s="421">
        <f>SUM(H7:S7)</f>
        <v>99943.62</v>
      </c>
      <c r="U7" s="422"/>
      <c r="V7" s="420">
        <f t="shared" ref="V7:AG7" si="6">SUM(V5:V6)</f>
        <v>10671.407142857101</v>
      </c>
      <c r="W7" s="420">
        <f t="shared" si="6"/>
        <v>10671.407142857101</v>
      </c>
      <c r="X7" s="420">
        <f t="shared" si="6"/>
        <v>10671.407142857101</v>
      </c>
      <c r="Y7" s="420">
        <f t="shared" si="6"/>
        <v>10671.407142857101</v>
      </c>
      <c r="Z7" s="420">
        <f t="shared" si="6"/>
        <v>21342.814285714299</v>
      </c>
      <c r="AA7" s="420">
        <f t="shared" si="6"/>
        <v>13695.025714285701</v>
      </c>
      <c r="AB7" s="420">
        <f t="shared" si="6"/>
        <v>13695.025714285701</v>
      </c>
      <c r="AC7" s="420">
        <f t="shared" si="6"/>
        <v>15625.031428571399</v>
      </c>
      <c r="AD7" s="420">
        <f t="shared" si="6"/>
        <v>21530.671428571401</v>
      </c>
      <c r="AE7" s="420">
        <f t="shared" si="6"/>
        <v>37190.890119047603</v>
      </c>
      <c r="AF7" s="420">
        <f t="shared" si="6"/>
        <v>21530.671428571401</v>
      </c>
      <c r="AG7" s="420">
        <f t="shared" si="6"/>
        <v>18544.601428571401</v>
      </c>
      <c r="AH7" s="423">
        <f>SUM(V7:AG7)</f>
        <v>205840.36011904728</v>
      </c>
      <c r="AI7" s="422"/>
      <c r="AJ7" s="424">
        <f>SUM(AJ5:AJ6)</f>
        <v>19656.573275714254</v>
      </c>
      <c r="AK7" s="424">
        <f t="shared" ref="AK7:AU7" si="7">SUM(AK5:AK6)</f>
        <v>19656.573275714254</v>
      </c>
      <c r="AL7" s="424">
        <f t="shared" si="7"/>
        <v>23156.573275714254</v>
      </c>
      <c r="AM7" s="424">
        <f t="shared" si="7"/>
        <v>19656.573275714254</v>
      </c>
      <c r="AN7" s="424">
        <f t="shared" si="7"/>
        <v>38313.146551428508</v>
      </c>
      <c r="AO7" s="424">
        <f t="shared" si="7"/>
        <v>19156.573275714254</v>
      </c>
      <c r="AP7" s="424">
        <f t="shared" si="7"/>
        <v>19156.573275714254</v>
      </c>
      <c r="AQ7" s="424">
        <f t="shared" si="7"/>
        <v>19156.573275714254</v>
      </c>
      <c r="AR7" s="424">
        <f t="shared" si="7"/>
        <v>19156.573275714254</v>
      </c>
      <c r="AS7" s="424">
        <f t="shared" si="7"/>
        <v>38313.146551428508</v>
      </c>
      <c r="AT7" s="424">
        <f t="shared" si="7"/>
        <v>19156.573275714254</v>
      </c>
      <c r="AU7" s="424">
        <f t="shared" si="7"/>
        <v>19156.573275714254</v>
      </c>
      <c r="AV7" s="425">
        <f>SUM(AJ7:AU7)</f>
        <v>273692.02585999953</v>
      </c>
      <c r="AW7" s="422"/>
      <c r="AX7" s="424">
        <f>SUM(AX5:AX6)</f>
        <v>20983.185566128224</v>
      </c>
      <c r="AY7" s="424">
        <f t="shared" ref="AY7:BI7" si="8">SUM(AY5:AY6)</f>
        <v>20983.185566128224</v>
      </c>
      <c r="AZ7" s="424">
        <f t="shared" si="8"/>
        <v>20983.185566128224</v>
      </c>
      <c r="BA7" s="424">
        <f t="shared" si="8"/>
        <v>20983.185566128224</v>
      </c>
      <c r="BB7" s="424">
        <f t="shared" si="8"/>
        <v>41966.371132256449</v>
      </c>
      <c r="BC7" s="424">
        <f t="shared" si="8"/>
        <v>20983.185566128224</v>
      </c>
      <c r="BD7" s="424">
        <f t="shared" si="8"/>
        <v>20983.185566128224</v>
      </c>
      <c r="BE7" s="424">
        <f t="shared" si="8"/>
        <v>20983.185566128224</v>
      </c>
      <c r="BF7" s="424">
        <f t="shared" si="8"/>
        <v>20983.185566128224</v>
      </c>
      <c r="BG7" s="424">
        <f t="shared" si="8"/>
        <v>41966.371132256449</v>
      </c>
      <c r="BH7" s="424">
        <f t="shared" si="8"/>
        <v>20983.185566128224</v>
      </c>
      <c r="BI7" s="424">
        <f t="shared" si="8"/>
        <v>20983.185566128224</v>
      </c>
      <c r="BJ7" s="426">
        <f>SUM(AX7:BI7)</f>
        <v>293764.59792579518</v>
      </c>
      <c r="BK7" s="422"/>
      <c r="BL7" s="424">
        <f>SUM(BL5:BL6)</f>
        <v>20983.185566128224</v>
      </c>
      <c r="BM7" s="424">
        <f t="shared" ref="BM7:BW7" si="9">SUM(BM5:BM6)</f>
        <v>20983.185566128224</v>
      </c>
      <c r="BN7" s="424">
        <f t="shared" si="9"/>
        <v>20983.185566128224</v>
      </c>
      <c r="BO7" s="424">
        <f t="shared" si="9"/>
        <v>20983.185566128224</v>
      </c>
      <c r="BP7" s="424">
        <f t="shared" si="9"/>
        <v>41966.371132256449</v>
      </c>
      <c r="BQ7" s="424">
        <f t="shared" si="9"/>
        <v>20983.185566128224</v>
      </c>
      <c r="BR7" s="424">
        <f t="shared" si="9"/>
        <v>20983.185566128224</v>
      </c>
      <c r="BS7" s="424">
        <f t="shared" si="9"/>
        <v>20983.185566128224</v>
      </c>
      <c r="BT7" s="424">
        <f t="shared" si="9"/>
        <v>20983.185566128224</v>
      </c>
      <c r="BU7" s="424">
        <f t="shared" si="9"/>
        <v>41966.371132256449</v>
      </c>
      <c r="BV7" s="424">
        <f t="shared" si="9"/>
        <v>20983.185566128224</v>
      </c>
      <c r="BW7" s="424">
        <f t="shared" si="9"/>
        <v>20983.185566128224</v>
      </c>
      <c r="BX7" s="427">
        <f>SUM(BL7:BW7)</f>
        <v>293764.59792579518</v>
      </c>
      <c r="BY7" s="422"/>
      <c r="BZ7" s="424">
        <f t="shared" ref="BZ7:CJ7" si="10">SUM(BZ5:BZ6)</f>
        <v>22289.738587379143</v>
      </c>
      <c r="CA7" s="424">
        <f t="shared" si="10"/>
        <v>22289.738587379143</v>
      </c>
      <c r="CB7" s="424">
        <f t="shared" si="10"/>
        <v>22289.738587379143</v>
      </c>
      <c r="CC7" s="424">
        <f t="shared" si="10"/>
        <v>22289.738587379143</v>
      </c>
      <c r="CD7" s="424">
        <f t="shared" si="10"/>
        <v>44579.477174758285</v>
      </c>
      <c r="CE7" s="424">
        <f t="shared" si="10"/>
        <v>22289.738587379143</v>
      </c>
      <c r="CF7" s="424">
        <f t="shared" si="10"/>
        <v>22289.738587379143</v>
      </c>
      <c r="CG7" s="424">
        <f t="shared" si="10"/>
        <v>22289.738587379143</v>
      </c>
      <c r="CH7" s="424">
        <f t="shared" si="10"/>
        <v>22289.738587379143</v>
      </c>
      <c r="CI7" s="424">
        <f t="shared" si="10"/>
        <v>44579.477174758285</v>
      </c>
      <c r="CJ7" s="424">
        <f t="shared" si="10"/>
        <v>22289.738587379143</v>
      </c>
      <c r="CK7" s="424">
        <f>SUM(CK5:CK6)</f>
        <v>22289.738587379143</v>
      </c>
      <c r="CL7" s="427">
        <f>SUM(BZ7:CK7)</f>
        <v>312056.34022330801</v>
      </c>
      <c r="CM7" s="422"/>
      <c r="CN7" s="424">
        <f>SUM(CN5:CN6)</f>
        <v>22913.851267825761</v>
      </c>
      <c r="CO7" s="424">
        <f t="shared" ref="CO7:CY7" si="11">SUM(CO5:CO6)</f>
        <v>22913.851267825761</v>
      </c>
      <c r="CP7" s="424">
        <f t="shared" si="11"/>
        <v>22913.851267825761</v>
      </c>
      <c r="CQ7" s="424">
        <f t="shared" si="11"/>
        <v>22913.851267825761</v>
      </c>
      <c r="CR7" s="424">
        <f t="shared" si="11"/>
        <v>45827.702535651522</v>
      </c>
      <c r="CS7" s="424">
        <f t="shared" si="11"/>
        <v>22913.851267825761</v>
      </c>
      <c r="CT7" s="424">
        <f t="shared" si="11"/>
        <v>22913.851267825761</v>
      </c>
      <c r="CU7" s="424">
        <f t="shared" si="11"/>
        <v>22913.851267825761</v>
      </c>
      <c r="CV7" s="424">
        <f t="shared" si="11"/>
        <v>22913.851267825761</v>
      </c>
      <c r="CW7" s="424">
        <f t="shared" si="11"/>
        <v>45827.702535651522</v>
      </c>
      <c r="CX7" s="424">
        <f t="shared" si="11"/>
        <v>22913.851267825761</v>
      </c>
      <c r="CY7" s="424">
        <f t="shared" si="11"/>
        <v>22913.851267825761</v>
      </c>
      <c r="CZ7" s="427">
        <f>SUM(CN7:CY7)</f>
        <v>320793.91774956061</v>
      </c>
    </row>
    <row r="8" spans="1:104 16374:16384" ht="14.5" x14ac:dyDescent="0.4">
      <c r="B8" s="428"/>
      <c r="C8" s="429"/>
      <c r="D8" s="365"/>
      <c r="E8" s="430"/>
      <c r="F8" s="431"/>
      <c r="G8" s="432"/>
      <c r="H8" s="431"/>
      <c r="I8" s="431"/>
      <c r="J8" s="431"/>
      <c r="K8" s="431"/>
      <c r="T8" s="433">
        <f>T7-T6-T5</f>
        <v>3829.8399999999965</v>
      </c>
      <c r="AH8" s="434">
        <f>AH7-AH6-AH5</f>
        <v>0</v>
      </c>
      <c r="AV8" s="205">
        <f>SUM(AV5:AV6)-AV7</f>
        <v>0</v>
      </c>
      <c r="BJ8" s="435">
        <f>SUM(BJ5:BJ6)-BJ7</f>
        <v>-82254.087419222691</v>
      </c>
      <c r="BX8" s="436">
        <f>BJ7-BJ6-BJ5</f>
        <v>82254.087419222691</v>
      </c>
      <c r="CL8" s="436">
        <f>BX7-BX6-BX5</f>
        <v>0</v>
      </c>
      <c r="CZ8" s="436">
        <f>CL7-CL6-CL5</f>
        <v>0</v>
      </c>
    </row>
    <row r="9" spans="1:104 16374:16384" ht="14.5" x14ac:dyDescent="0.4">
      <c r="B9" s="139" t="s">
        <v>521</v>
      </c>
      <c r="C9" s="437" t="s">
        <v>522</v>
      </c>
      <c r="D9" s="438" t="s">
        <v>523</v>
      </c>
      <c r="F9" s="268"/>
      <c r="G9" s="439"/>
      <c r="H9" s="366"/>
      <c r="I9" s="366"/>
      <c r="J9" s="366"/>
      <c r="K9" s="366"/>
      <c r="L9" s="268"/>
      <c r="M9" s="268"/>
      <c r="N9" s="268"/>
      <c r="O9" s="268"/>
      <c r="P9" s="268"/>
      <c r="Q9" s="268"/>
      <c r="R9" s="268"/>
      <c r="S9" s="268"/>
      <c r="T9" s="369"/>
      <c r="U9" s="440">
        <f>1+U2</f>
        <v>1.04</v>
      </c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371"/>
      <c r="AI9" s="440">
        <f>U9+AI$2</f>
        <v>1.073</v>
      </c>
      <c r="AJ9" s="268"/>
      <c r="AK9" s="268"/>
      <c r="AL9" s="268"/>
      <c r="AM9" s="268"/>
      <c r="AN9" s="268"/>
      <c r="AO9" s="268"/>
      <c r="AP9" s="268"/>
      <c r="AQ9" s="268"/>
      <c r="AR9" s="268"/>
      <c r="AS9" s="268"/>
      <c r="AT9" s="268"/>
      <c r="AU9" s="268"/>
      <c r="AV9" s="372"/>
      <c r="AW9" s="440">
        <f>AI9+AW$2</f>
        <v>1.103</v>
      </c>
      <c r="AX9" s="268"/>
      <c r="AY9" s="268"/>
      <c r="AZ9" s="268"/>
      <c r="BA9" s="268"/>
      <c r="BB9" s="268"/>
      <c r="BC9" s="268"/>
      <c r="BD9" s="268"/>
      <c r="BE9" s="268"/>
      <c r="BF9" s="268"/>
      <c r="BG9" s="268"/>
      <c r="BH9" s="268"/>
      <c r="BI9" s="268"/>
      <c r="BJ9" s="373"/>
      <c r="BK9" s="440">
        <f>AW9+BK$2</f>
        <v>1.131</v>
      </c>
      <c r="BL9" s="268"/>
      <c r="BM9" s="268"/>
      <c r="BN9" s="268"/>
      <c r="BO9" s="268"/>
      <c r="BP9" s="268"/>
      <c r="BQ9" s="268"/>
      <c r="BR9" s="268"/>
      <c r="BS9" s="268"/>
      <c r="BT9" s="268"/>
      <c r="BU9" s="268"/>
      <c r="BV9" s="268"/>
      <c r="BW9" s="268"/>
      <c r="BX9" s="374"/>
      <c r="BY9" s="440">
        <f>BK9+BY$2</f>
        <v>1.159</v>
      </c>
      <c r="BZ9" s="268"/>
      <c r="CA9" s="268"/>
      <c r="CB9" s="268"/>
      <c r="CC9" s="268"/>
      <c r="CD9" s="268"/>
      <c r="CE9" s="268"/>
      <c r="CF9" s="268"/>
      <c r="CG9" s="268"/>
      <c r="CH9" s="268"/>
      <c r="CI9" s="268"/>
      <c r="CJ9" s="268"/>
      <c r="CK9" s="268"/>
      <c r="CL9" s="374"/>
      <c r="CM9" s="440">
        <f>BY9+CM$2</f>
        <v>1.1870000000000001</v>
      </c>
      <c r="CN9" s="268"/>
      <c r="CO9" s="268"/>
      <c r="CP9" s="268"/>
      <c r="CQ9" s="268"/>
      <c r="CR9" s="268"/>
      <c r="CS9" s="268"/>
      <c r="CT9" s="268"/>
      <c r="CU9" s="268"/>
      <c r="CV9" s="268"/>
      <c r="CW9" s="268"/>
      <c r="CX9" s="268"/>
      <c r="CY9" s="268"/>
      <c r="CZ9" s="374"/>
    </row>
    <row r="10" spans="1:104 16374:16384" ht="14.5" x14ac:dyDescent="0.4">
      <c r="A10" s="73">
        <v>7400</v>
      </c>
      <c r="B10" s="441" t="s">
        <v>524</v>
      </c>
      <c r="C10" s="442">
        <v>5062</v>
      </c>
      <c r="D10" s="442">
        <f>C10*1.2</f>
        <v>6074.4</v>
      </c>
      <c r="F10" s="163"/>
      <c r="G10" s="357">
        <f>F10</f>
        <v>0</v>
      </c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443">
        <f>SUM(H10:S10)</f>
        <v>0</v>
      </c>
      <c r="V10" s="169"/>
      <c r="W10" s="169"/>
      <c r="X10" s="169">
        <f t="shared" ref="X10:AG10" si="12">$C10*$U9</f>
        <v>5264.4800000000005</v>
      </c>
      <c r="Y10" s="169">
        <f t="shared" si="12"/>
        <v>5264.4800000000005</v>
      </c>
      <c r="Z10" s="169">
        <f t="shared" si="12"/>
        <v>5264.4800000000005</v>
      </c>
      <c r="AA10" s="169">
        <f t="shared" si="12"/>
        <v>5264.4800000000005</v>
      </c>
      <c r="AB10" s="169">
        <f t="shared" si="12"/>
        <v>5264.4800000000005</v>
      </c>
      <c r="AC10" s="169">
        <f t="shared" si="12"/>
        <v>5264.4800000000005</v>
      </c>
      <c r="AD10" s="169">
        <f t="shared" si="12"/>
        <v>5264.4800000000005</v>
      </c>
      <c r="AE10" s="169">
        <f t="shared" si="12"/>
        <v>5264.4800000000005</v>
      </c>
      <c r="AF10" s="169">
        <f t="shared" si="12"/>
        <v>5264.4800000000005</v>
      </c>
      <c r="AG10" s="169">
        <f t="shared" si="12"/>
        <v>5264.4800000000005</v>
      </c>
      <c r="AH10" s="221">
        <f>SUM(V10:AG10)</f>
        <v>52644.80000000001</v>
      </c>
      <c r="AJ10" s="169">
        <f t="shared" ref="AJ10:AU10" si="13">$C10*$AI9</f>
        <v>5431.5259999999998</v>
      </c>
      <c r="AK10" s="169">
        <f t="shared" si="13"/>
        <v>5431.5259999999998</v>
      </c>
      <c r="AL10" s="169">
        <f t="shared" si="13"/>
        <v>5431.5259999999998</v>
      </c>
      <c r="AM10" s="169">
        <f t="shared" si="13"/>
        <v>5431.5259999999998</v>
      </c>
      <c r="AN10" s="169">
        <f t="shared" si="13"/>
        <v>5431.5259999999998</v>
      </c>
      <c r="AO10" s="169">
        <f t="shared" si="13"/>
        <v>5431.5259999999998</v>
      </c>
      <c r="AP10" s="169">
        <f t="shared" si="13"/>
        <v>5431.5259999999998</v>
      </c>
      <c r="AQ10" s="169">
        <f t="shared" si="13"/>
        <v>5431.5259999999998</v>
      </c>
      <c r="AR10" s="169">
        <f t="shared" si="13"/>
        <v>5431.5259999999998</v>
      </c>
      <c r="AS10" s="169">
        <f t="shared" si="13"/>
        <v>5431.5259999999998</v>
      </c>
      <c r="AT10" s="169">
        <f t="shared" si="13"/>
        <v>5431.5259999999998</v>
      </c>
      <c r="AU10" s="169">
        <f t="shared" si="13"/>
        <v>5431.5259999999998</v>
      </c>
      <c r="AV10" s="223">
        <f>SUM(AJ10:AU10)</f>
        <v>65178.311999999984</v>
      </c>
      <c r="AX10" s="169">
        <f t="shared" ref="AX10:BI10" si="14">+$C10*$AW9</f>
        <v>5583.3859999999995</v>
      </c>
      <c r="AY10" s="169">
        <f t="shared" si="14"/>
        <v>5583.3859999999995</v>
      </c>
      <c r="AZ10" s="169">
        <f t="shared" si="14"/>
        <v>5583.3859999999995</v>
      </c>
      <c r="BA10" s="169">
        <f t="shared" si="14"/>
        <v>5583.3859999999995</v>
      </c>
      <c r="BB10" s="169">
        <f t="shared" si="14"/>
        <v>5583.3859999999995</v>
      </c>
      <c r="BC10" s="169">
        <f t="shared" si="14"/>
        <v>5583.3859999999995</v>
      </c>
      <c r="BD10" s="169">
        <f t="shared" si="14"/>
        <v>5583.3859999999995</v>
      </c>
      <c r="BE10" s="169">
        <f t="shared" si="14"/>
        <v>5583.3859999999995</v>
      </c>
      <c r="BF10" s="169">
        <f t="shared" si="14"/>
        <v>5583.3859999999995</v>
      </c>
      <c r="BG10" s="169">
        <f t="shared" si="14"/>
        <v>5583.3859999999995</v>
      </c>
      <c r="BH10" s="169">
        <f t="shared" si="14"/>
        <v>5583.3859999999995</v>
      </c>
      <c r="BI10" s="169">
        <f t="shared" si="14"/>
        <v>5583.3859999999995</v>
      </c>
      <c r="BJ10" s="444">
        <f>SUM(AX10:BI10)</f>
        <v>67000.631999999998</v>
      </c>
      <c r="BL10" s="169">
        <f t="shared" ref="BL10:BV10" si="15">+$C10*$BK9</f>
        <v>5725.1220000000003</v>
      </c>
      <c r="BM10" s="169">
        <f t="shared" si="15"/>
        <v>5725.1220000000003</v>
      </c>
      <c r="BN10" s="169">
        <f t="shared" si="15"/>
        <v>5725.1220000000003</v>
      </c>
      <c r="BO10" s="169">
        <f t="shared" si="15"/>
        <v>5725.1220000000003</v>
      </c>
      <c r="BP10" s="169">
        <f t="shared" si="15"/>
        <v>5725.1220000000003</v>
      </c>
      <c r="BQ10" s="169">
        <f t="shared" si="15"/>
        <v>5725.1220000000003</v>
      </c>
      <c r="BR10" s="169">
        <f t="shared" si="15"/>
        <v>5725.1220000000003</v>
      </c>
      <c r="BS10" s="169">
        <f t="shared" si="15"/>
        <v>5725.1220000000003</v>
      </c>
      <c r="BT10" s="169">
        <f t="shared" si="15"/>
        <v>5725.1220000000003</v>
      </c>
      <c r="BU10" s="169">
        <f t="shared" si="15"/>
        <v>5725.1220000000003</v>
      </c>
      <c r="BV10" s="169">
        <f t="shared" si="15"/>
        <v>5725.1220000000003</v>
      </c>
      <c r="BW10" s="169">
        <f>+$C10*$BK9</f>
        <v>5725.1220000000003</v>
      </c>
      <c r="BX10" s="445">
        <f>SUM(BL10:BW10)</f>
        <v>68701.464000000022</v>
      </c>
      <c r="BZ10" s="169">
        <f>$C10*$BY9</f>
        <v>5866.8580000000002</v>
      </c>
      <c r="CA10" s="169">
        <f t="shared" ref="CA10:CK10" si="16">$C10*$BY9</f>
        <v>5866.8580000000002</v>
      </c>
      <c r="CB10" s="169">
        <f t="shared" si="16"/>
        <v>5866.8580000000002</v>
      </c>
      <c r="CC10" s="169">
        <f t="shared" si="16"/>
        <v>5866.8580000000002</v>
      </c>
      <c r="CD10" s="169">
        <f t="shared" si="16"/>
        <v>5866.8580000000002</v>
      </c>
      <c r="CE10" s="169">
        <f t="shared" si="16"/>
        <v>5866.8580000000002</v>
      </c>
      <c r="CF10" s="169">
        <f t="shared" si="16"/>
        <v>5866.8580000000002</v>
      </c>
      <c r="CG10" s="169">
        <f t="shared" si="16"/>
        <v>5866.8580000000002</v>
      </c>
      <c r="CH10" s="169">
        <f t="shared" si="16"/>
        <v>5866.8580000000002</v>
      </c>
      <c r="CI10" s="169">
        <f t="shared" si="16"/>
        <v>5866.8580000000002</v>
      </c>
      <c r="CJ10" s="169">
        <f t="shared" si="16"/>
        <v>5866.8580000000002</v>
      </c>
      <c r="CK10" s="169">
        <f t="shared" si="16"/>
        <v>5866.8580000000002</v>
      </c>
      <c r="CL10" s="445">
        <f>SUM(BZ10:CK10)</f>
        <v>70402.296000000002</v>
      </c>
      <c r="CN10" s="169">
        <f>+$C10*$CM9</f>
        <v>6008.5940000000001</v>
      </c>
      <c r="CO10" s="169">
        <f t="shared" ref="CO10:CY10" si="17">+$C10*$CM9</f>
        <v>6008.5940000000001</v>
      </c>
      <c r="CP10" s="169">
        <f t="shared" si="17"/>
        <v>6008.5940000000001</v>
      </c>
      <c r="CQ10" s="169">
        <f t="shared" si="17"/>
        <v>6008.5940000000001</v>
      </c>
      <c r="CR10" s="169">
        <f t="shared" si="17"/>
        <v>6008.5940000000001</v>
      </c>
      <c r="CS10" s="169">
        <f t="shared" si="17"/>
        <v>6008.5940000000001</v>
      </c>
      <c r="CT10" s="169">
        <f t="shared" si="17"/>
        <v>6008.5940000000001</v>
      </c>
      <c r="CU10" s="169">
        <f t="shared" si="17"/>
        <v>6008.5940000000001</v>
      </c>
      <c r="CV10" s="169">
        <f t="shared" si="17"/>
        <v>6008.5940000000001</v>
      </c>
      <c r="CW10" s="169">
        <f t="shared" si="17"/>
        <v>6008.5940000000001</v>
      </c>
      <c r="CX10" s="169">
        <f t="shared" si="17"/>
        <v>6008.5940000000001</v>
      </c>
      <c r="CY10" s="169">
        <f t="shared" si="17"/>
        <v>6008.5940000000001</v>
      </c>
      <c r="CZ10" s="445">
        <f>SUM(CN10:CY10)</f>
        <v>72103.127999999982</v>
      </c>
    </row>
    <row r="11" spans="1:104 16374:16384" ht="14.5" x14ac:dyDescent="0.4">
      <c r="A11" s="73">
        <v>7400</v>
      </c>
      <c r="B11" s="390" t="s">
        <v>525</v>
      </c>
      <c r="C11" s="442">
        <v>2088</v>
      </c>
      <c r="D11" s="442">
        <f>C11*1.2</f>
        <v>2505.6</v>
      </c>
      <c r="F11" s="163"/>
      <c r="G11" s="357">
        <f>F11</f>
        <v>0</v>
      </c>
      <c r="H11" s="163"/>
      <c r="I11" s="163"/>
      <c r="J11" s="163"/>
      <c r="K11" s="163"/>
      <c r="L11" s="163"/>
      <c r="M11" s="163"/>
      <c r="N11" s="163"/>
      <c r="O11" s="229">
        <f>+$C11</f>
        <v>2088</v>
      </c>
      <c r="P11" s="229">
        <f>+$C11</f>
        <v>2088</v>
      </c>
      <c r="Q11" s="229">
        <f>+$C11</f>
        <v>2088</v>
      </c>
      <c r="R11" s="229">
        <f>+$C11</f>
        <v>2088</v>
      </c>
      <c r="S11" s="229">
        <v>2088</v>
      </c>
      <c r="T11" s="443">
        <f>SUM(H11:S11)</f>
        <v>10440</v>
      </c>
      <c r="V11" s="169">
        <f t="shared" ref="V11:AG11" si="18">+$C11*$U9</f>
        <v>2171.52</v>
      </c>
      <c r="W11" s="169">
        <f t="shared" si="18"/>
        <v>2171.52</v>
      </c>
      <c r="X11" s="169">
        <f t="shared" si="18"/>
        <v>2171.52</v>
      </c>
      <c r="Y11" s="169">
        <f t="shared" si="18"/>
        <v>2171.52</v>
      </c>
      <c r="Z11" s="169">
        <f t="shared" si="18"/>
        <v>2171.52</v>
      </c>
      <c r="AA11" s="169">
        <f t="shared" si="18"/>
        <v>2171.52</v>
      </c>
      <c r="AB11" s="169">
        <f t="shared" si="18"/>
        <v>2171.52</v>
      </c>
      <c r="AC11" s="169">
        <f t="shared" si="18"/>
        <v>2171.52</v>
      </c>
      <c r="AD11" s="169">
        <f t="shared" si="18"/>
        <v>2171.52</v>
      </c>
      <c r="AE11" s="169">
        <f t="shared" si="18"/>
        <v>2171.52</v>
      </c>
      <c r="AF11" s="169">
        <f t="shared" si="18"/>
        <v>2171.52</v>
      </c>
      <c r="AG11" s="169">
        <f t="shared" si="18"/>
        <v>2171.52</v>
      </c>
      <c r="AH11" s="221">
        <f>SUM(V11:AG11)</f>
        <v>26058.240000000002</v>
      </c>
      <c r="AJ11" s="169">
        <f t="shared" ref="AJ11:AU11" si="19">+$C11*$AI9</f>
        <v>2240.424</v>
      </c>
      <c r="AK11" s="169">
        <f t="shared" si="19"/>
        <v>2240.424</v>
      </c>
      <c r="AL11" s="169">
        <f t="shared" si="19"/>
        <v>2240.424</v>
      </c>
      <c r="AM11" s="169">
        <f t="shared" si="19"/>
        <v>2240.424</v>
      </c>
      <c r="AN11" s="169">
        <f t="shared" si="19"/>
        <v>2240.424</v>
      </c>
      <c r="AO11" s="169">
        <f t="shared" si="19"/>
        <v>2240.424</v>
      </c>
      <c r="AP11" s="169">
        <f t="shared" si="19"/>
        <v>2240.424</v>
      </c>
      <c r="AQ11" s="169">
        <f t="shared" si="19"/>
        <v>2240.424</v>
      </c>
      <c r="AR11" s="169">
        <f t="shared" si="19"/>
        <v>2240.424</v>
      </c>
      <c r="AS11" s="169">
        <f t="shared" si="19"/>
        <v>2240.424</v>
      </c>
      <c r="AT11" s="169">
        <f t="shared" si="19"/>
        <v>2240.424</v>
      </c>
      <c r="AU11" s="169">
        <f t="shared" si="19"/>
        <v>2240.424</v>
      </c>
      <c r="AV11" s="223">
        <f>SUM(AJ11:AU11)</f>
        <v>26885.087999999992</v>
      </c>
      <c r="AX11" s="169">
        <f t="shared" ref="AX11:BI11" si="20">+$C11*$AW9</f>
        <v>2303.0639999999999</v>
      </c>
      <c r="AY11" s="169">
        <f t="shared" si="20"/>
        <v>2303.0639999999999</v>
      </c>
      <c r="AZ11" s="169">
        <f t="shared" si="20"/>
        <v>2303.0639999999999</v>
      </c>
      <c r="BA11" s="169">
        <f t="shared" si="20"/>
        <v>2303.0639999999999</v>
      </c>
      <c r="BB11" s="169">
        <f t="shared" si="20"/>
        <v>2303.0639999999999</v>
      </c>
      <c r="BC11" s="169">
        <f t="shared" si="20"/>
        <v>2303.0639999999999</v>
      </c>
      <c r="BD11" s="169">
        <f t="shared" si="20"/>
        <v>2303.0639999999999</v>
      </c>
      <c r="BE11" s="169">
        <f t="shared" si="20"/>
        <v>2303.0639999999999</v>
      </c>
      <c r="BF11" s="169">
        <f t="shared" si="20"/>
        <v>2303.0639999999999</v>
      </c>
      <c r="BG11" s="169">
        <f t="shared" si="20"/>
        <v>2303.0639999999999</v>
      </c>
      <c r="BH11" s="169">
        <f t="shared" si="20"/>
        <v>2303.0639999999999</v>
      </c>
      <c r="BI11" s="169">
        <f t="shared" si="20"/>
        <v>2303.0639999999999</v>
      </c>
      <c r="BJ11" s="444">
        <f>SUM(AX11:BI11)</f>
        <v>27636.767999999993</v>
      </c>
      <c r="BL11" s="169">
        <f t="shared" ref="BL11:BW11" si="21">+$C11*$BK9</f>
        <v>2361.5279999999998</v>
      </c>
      <c r="BM11" s="169">
        <f t="shared" si="21"/>
        <v>2361.5279999999998</v>
      </c>
      <c r="BN11" s="169">
        <f t="shared" si="21"/>
        <v>2361.5279999999998</v>
      </c>
      <c r="BO11" s="169">
        <f t="shared" si="21"/>
        <v>2361.5279999999998</v>
      </c>
      <c r="BP11" s="169">
        <f t="shared" si="21"/>
        <v>2361.5279999999998</v>
      </c>
      <c r="BQ11" s="169">
        <f t="shared" si="21"/>
        <v>2361.5279999999998</v>
      </c>
      <c r="BR11" s="169">
        <f t="shared" si="21"/>
        <v>2361.5279999999998</v>
      </c>
      <c r="BS11" s="169">
        <f t="shared" si="21"/>
        <v>2361.5279999999998</v>
      </c>
      <c r="BT11" s="169">
        <f t="shared" si="21"/>
        <v>2361.5279999999998</v>
      </c>
      <c r="BU11" s="169">
        <f t="shared" si="21"/>
        <v>2361.5279999999998</v>
      </c>
      <c r="BV11" s="169">
        <f t="shared" si="21"/>
        <v>2361.5279999999998</v>
      </c>
      <c r="BW11" s="169">
        <f t="shared" si="21"/>
        <v>2361.5279999999998</v>
      </c>
      <c r="BX11" s="445">
        <f>SUM(BL11:BW11)</f>
        <v>28338.335999999992</v>
      </c>
      <c r="BZ11" s="169">
        <f>$C11*$BY9</f>
        <v>2419.9920000000002</v>
      </c>
      <c r="CA11" s="169">
        <f t="shared" ref="CA11:CK11" si="22">$C11*$BY9</f>
        <v>2419.9920000000002</v>
      </c>
      <c r="CB11" s="169">
        <f t="shared" si="22"/>
        <v>2419.9920000000002</v>
      </c>
      <c r="CC11" s="169">
        <f t="shared" si="22"/>
        <v>2419.9920000000002</v>
      </c>
      <c r="CD11" s="169">
        <f t="shared" si="22"/>
        <v>2419.9920000000002</v>
      </c>
      <c r="CE11" s="169">
        <f t="shared" si="22"/>
        <v>2419.9920000000002</v>
      </c>
      <c r="CF11" s="169">
        <f t="shared" si="22"/>
        <v>2419.9920000000002</v>
      </c>
      <c r="CG11" s="169">
        <f t="shared" si="22"/>
        <v>2419.9920000000002</v>
      </c>
      <c r="CH11" s="169">
        <f t="shared" si="22"/>
        <v>2419.9920000000002</v>
      </c>
      <c r="CI11" s="169">
        <f t="shared" si="22"/>
        <v>2419.9920000000002</v>
      </c>
      <c r="CJ11" s="169">
        <f t="shared" si="22"/>
        <v>2419.9920000000002</v>
      </c>
      <c r="CK11" s="169">
        <f t="shared" si="22"/>
        <v>2419.9920000000002</v>
      </c>
      <c r="CL11" s="445">
        <f>SUM(BZ11:CK11)</f>
        <v>29039.903999999995</v>
      </c>
      <c r="CN11" s="169">
        <f>+$C11*$CM9</f>
        <v>2478.4560000000001</v>
      </c>
      <c r="CO11" s="169">
        <f t="shared" ref="CO11:CY11" si="23">+$C11*$CM9</f>
        <v>2478.4560000000001</v>
      </c>
      <c r="CP11" s="169">
        <f t="shared" si="23"/>
        <v>2478.4560000000001</v>
      </c>
      <c r="CQ11" s="169">
        <f t="shared" si="23"/>
        <v>2478.4560000000001</v>
      </c>
      <c r="CR11" s="169">
        <f t="shared" si="23"/>
        <v>2478.4560000000001</v>
      </c>
      <c r="CS11" s="169">
        <f t="shared" si="23"/>
        <v>2478.4560000000001</v>
      </c>
      <c r="CT11" s="169">
        <f t="shared" si="23"/>
        <v>2478.4560000000001</v>
      </c>
      <c r="CU11" s="169">
        <f t="shared" si="23"/>
        <v>2478.4560000000001</v>
      </c>
      <c r="CV11" s="169">
        <f t="shared" si="23"/>
        <v>2478.4560000000001</v>
      </c>
      <c r="CW11" s="169">
        <f t="shared" si="23"/>
        <v>2478.4560000000001</v>
      </c>
      <c r="CX11" s="169">
        <f t="shared" si="23"/>
        <v>2478.4560000000001</v>
      </c>
      <c r="CY11" s="169">
        <f t="shared" si="23"/>
        <v>2478.4560000000001</v>
      </c>
      <c r="CZ11" s="445">
        <f>SUM(CN11:CY11)</f>
        <v>29741.471999999994</v>
      </c>
    </row>
    <row r="12" spans="1:104 16374:16384" ht="14.5" x14ac:dyDescent="0.4">
      <c r="A12" s="73" t="s">
        <v>526</v>
      </c>
      <c r="B12" s="428" t="s">
        <v>527</v>
      </c>
      <c r="C12" s="231"/>
      <c r="F12" s="163"/>
      <c r="G12" s="357">
        <f>F12</f>
        <v>0</v>
      </c>
      <c r="H12" s="163"/>
      <c r="I12" s="163"/>
      <c r="J12" s="163"/>
      <c r="K12" s="163"/>
      <c r="L12" s="163"/>
      <c r="M12" s="229">
        <f>(C10+C11)*3</f>
        <v>21450</v>
      </c>
      <c r="N12" s="163"/>
      <c r="O12" s="163"/>
      <c r="P12" s="163"/>
      <c r="Q12" s="163"/>
      <c r="R12" s="163"/>
      <c r="S12" s="229"/>
      <c r="T12" s="443">
        <f>SUM(L12:S12)</f>
        <v>21450</v>
      </c>
      <c r="X12" s="169">
        <v>2000</v>
      </c>
      <c r="Z12" s="446">
        <v>245.46</v>
      </c>
      <c r="AH12" s="221">
        <f>SUM(V12:AG12)</f>
        <v>2245.46</v>
      </c>
      <c r="AV12" s="200"/>
      <c r="BJ12" s="358">
        <f>SUM(AX12:BI12)</f>
        <v>0</v>
      </c>
      <c r="BX12" s="359"/>
      <c r="CL12" s="359"/>
      <c r="CZ12" s="359"/>
    </row>
    <row r="13" spans="1:104 16374:16384" s="404" customFormat="1" ht="14.5" x14ac:dyDescent="0.4">
      <c r="A13" s="447"/>
      <c r="B13" s="415" t="s">
        <v>528</v>
      </c>
      <c r="C13" s="416"/>
      <c r="D13" s="416"/>
      <c r="E13" s="417"/>
      <c r="F13" s="418">
        <f>SUM(F10:F12)</f>
        <v>0</v>
      </c>
      <c r="G13" s="448">
        <f>F13</f>
        <v>0</v>
      </c>
      <c r="H13" s="420">
        <f t="shared" ref="H13:S13" si="24">SUM(H10:H12)</f>
        <v>0</v>
      </c>
      <c r="I13" s="420">
        <f t="shared" si="24"/>
        <v>0</v>
      </c>
      <c r="J13" s="420">
        <f t="shared" si="24"/>
        <v>0</v>
      </c>
      <c r="K13" s="420">
        <f t="shared" si="24"/>
        <v>0</v>
      </c>
      <c r="L13" s="420">
        <f t="shared" si="24"/>
        <v>0</v>
      </c>
      <c r="M13" s="420">
        <f t="shared" si="24"/>
        <v>21450</v>
      </c>
      <c r="N13" s="420">
        <f t="shared" si="24"/>
        <v>0</v>
      </c>
      <c r="O13" s="420">
        <f t="shared" si="24"/>
        <v>2088</v>
      </c>
      <c r="P13" s="420">
        <f t="shared" si="24"/>
        <v>2088</v>
      </c>
      <c r="Q13" s="420">
        <f t="shared" si="24"/>
        <v>2088</v>
      </c>
      <c r="R13" s="420">
        <f t="shared" si="24"/>
        <v>2088</v>
      </c>
      <c r="S13" s="420">
        <f t="shared" si="24"/>
        <v>2088</v>
      </c>
      <c r="T13" s="421">
        <f>SUM(L13:S13)</f>
        <v>31890</v>
      </c>
      <c r="U13" s="422"/>
      <c r="V13" s="420">
        <f t="shared" ref="V13:AH13" si="25">SUM(V10:V12)</f>
        <v>2171.52</v>
      </c>
      <c r="W13" s="420">
        <f t="shared" si="25"/>
        <v>2171.52</v>
      </c>
      <c r="X13" s="420">
        <f t="shared" si="25"/>
        <v>9436</v>
      </c>
      <c r="Y13" s="420">
        <f t="shared" si="25"/>
        <v>7436</v>
      </c>
      <c r="Z13" s="420">
        <f t="shared" si="25"/>
        <v>7681.46</v>
      </c>
      <c r="AA13" s="420">
        <f t="shared" si="25"/>
        <v>7436</v>
      </c>
      <c r="AB13" s="420">
        <f t="shared" si="25"/>
        <v>7436</v>
      </c>
      <c r="AC13" s="420">
        <f t="shared" si="25"/>
        <v>7436</v>
      </c>
      <c r="AD13" s="420">
        <f t="shared" si="25"/>
        <v>7436</v>
      </c>
      <c r="AE13" s="420">
        <f t="shared" si="25"/>
        <v>7436</v>
      </c>
      <c r="AF13" s="420">
        <f t="shared" si="25"/>
        <v>7436</v>
      </c>
      <c r="AG13" s="420">
        <f t="shared" si="25"/>
        <v>7436</v>
      </c>
      <c r="AH13" s="423">
        <f t="shared" si="25"/>
        <v>80948.500000000015</v>
      </c>
      <c r="AI13" s="422"/>
      <c r="AJ13" s="420">
        <f t="shared" ref="AJ13:AV13" si="26">SUM(AJ10:AJ12)</f>
        <v>7671.95</v>
      </c>
      <c r="AK13" s="420">
        <f t="shared" si="26"/>
        <v>7671.95</v>
      </c>
      <c r="AL13" s="420">
        <f t="shared" si="26"/>
        <v>7671.95</v>
      </c>
      <c r="AM13" s="420">
        <f t="shared" si="26"/>
        <v>7671.95</v>
      </c>
      <c r="AN13" s="420">
        <f t="shared" si="26"/>
        <v>7671.95</v>
      </c>
      <c r="AO13" s="420">
        <f t="shared" si="26"/>
        <v>7671.95</v>
      </c>
      <c r="AP13" s="420">
        <f t="shared" si="26"/>
        <v>7671.95</v>
      </c>
      <c r="AQ13" s="420">
        <f t="shared" si="26"/>
        <v>7671.95</v>
      </c>
      <c r="AR13" s="420">
        <f t="shared" si="26"/>
        <v>7671.95</v>
      </c>
      <c r="AS13" s="420">
        <f t="shared" si="26"/>
        <v>7671.95</v>
      </c>
      <c r="AT13" s="420">
        <f t="shared" si="26"/>
        <v>7671.95</v>
      </c>
      <c r="AU13" s="420">
        <f t="shared" si="26"/>
        <v>7671.95</v>
      </c>
      <c r="AV13" s="425">
        <f t="shared" si="26"/>
        <v>92063.39999999998</v>
      </c>
      <c r="AW13" s="422"/>
      <c r="AX13" s="420">
        <f t="shared" ref="AX13:BI13" si="27">SUM(AX10:AX12)</f>
        <v>7886.4499999999989</v>
      </c>
      <c r="AY13" s="420">
        <f t="shared" si="27"/>
        <v>7886.4499999999989</v>
      </c>
      <c r="AZ13" s="420">
        <f t="shared" si="27"/>
        <v>7886.4499999999989</v>
      </c>
      <c r="BA13" s="420">
        <f t="shared" si="27"/>
        <v>7886.4499999999989</v>
      </c>
      <c r="BB13" s="420">
        <f t="shared" si="27"/>
        <v>7886.4499999999989</v>
      </c>
      <c r="BC13" s="420">
        <f t="shared" si="27"/>
        <v>7886.4499999999989</v>
      </c>
      <c r="BD13" s="420">
        <f t="shared" si="27"/>
        <v>7886.4499999999989</v>
      </c>
      <c r="BE13" s="420">
        <f t="shared" si="27"/>
        <v>7886.4499999999989</v>
      </c>
      <c r="BF13" s="420">
        <f t="shared" si="27"/>
        <v>7886.4499999999989</v>
      </c>
      <c r="BG13" s="420">
        <f t="shared" si="27"/>
        <v>7886.4499999999989</v>
      </c>
      <c r="BH13" s="420">
        <f t="shared" si="27"/>
        <v>7886.4499999999989</v>
      </c>
      <c r="BI13" s="420">
        <f t="shared" si="27"/>
        <v>7886.4499999999989</v>
      </c>
      <c r="BJ13" s="426">
        <f>SUM(AX13:BI13)</f>
        <v>94637.39999999998</v>
      </c>
      <c r="BK13" s="422"/>
      <c r="BL13" s="420">
        <f t="shared" ref="BL13:BX13" si="28">SUM(BL10:BL12)</f>
        <v>8086.65</v>
      </c>
      <c r="BM13" s="420">
        <f t="shared" si="28"/>
        <v>8086.65</v>
      </c>
      <c r="BN13" s="420">
        <f t="shared" si="28"/>
        <v>8086.65</v>
      </c>
      <c r="BO13" s="420">
        <f t="shared" si="28"/>
        <v>8086.65</v>
      </c>
      <c r="BP13" s="420">
        <f t="shared" si="28"/>
        <v>8086.65</v>
      </c>
      <c r="BQ13" s="420">
        <f t="shared" si="28"/>
        <v>8086.65</v>
      </c>
      <c r="BR13" s="420">
        <f t="shared" si="28"/>
        <v>8086.65</v>
      </c>
      <c r="BS13" s="420">
        <f t="shared" si="28"/>
        <v>8086.65</v>
      </c>
      <c r="BT13" s="420">
        <f t="shared" si="28"/>
        <v>8086.65</v>
      </c>
      <c r="BU13" s="420">
        <f t="shared" si="28"/>
        <v>8086.65</v>
      </c>
      <c r="BV13" s="420">
        <f t="shared" si="28"/>
        <v>8086.65</v>
      </c>
      <c r="BW13" s="420">
        <f t="shared" si="28"/>
        <v>8086.65</v>
      </c>
      <c r="BX13" s="427">
        <f t="shared" si="28"/>
        <v>97039.800000000017</v>
      </c>
      <c r="BY13" s="422"/>
      <c r="BZ13" s="420">
        <f t="shared" ref="BZ13:CL13" si="29">SUM(BZ10:BZ12)</f>
        <v>8286.85</v>
      </c>
      <c r="CA13" s="420">
        <f t="shared" si="29"/>
        <v>8286.85</v>
      </c>
      <c r="CB13" s="420">
        <f t="shared" si="29"/>
        <v>8286.85</v>
      </c>
      <c r="CC13" s="420">
        <f t="shared" si="29"/>
        <v>8286.85</v>
      </c>
      <c r="CD13" s="420">
        <f t="shared" si="29"/>
        <v>8286.85</v>
      </c>
      <c r="CE13" s="420">
        <f t="shared" si="29"/>
        <v>8286.85</v>
      </c>
      <c r="CF13" s="420">
        <f t="shared" si="29"/>
        <v>8286.85</v>
      </c>
      <c r="CG13" s="420">
        <f t="shared" si="29"/>
        <v>8286.85</v>
      </c>
      <c r="CH13" s="420">
        <f t="shared" si="29"/>
        <v>8286.85</v>
      </c>
      <c r="CI13" s="420">
        <f t="shared" si="29"/>
        <v>8286.85</v>
      </c>
      <c r="CJ13" s="420">
        <f t="shared" si="29"/>
        <v>8286.85</v>
      </c>
      <c r="CK13" s="420">
        <f t="shared" si="29"/>
        <v>8286.85</v>
      </c>
      <c r="CL13" s="427">
        <f t="shared" si="29"/>
        <v>99442.2</v>
      </c>
      <c r="CM13" s="422"/>
      <c r="CN13" s="420">
        <f t="shared" ref="CN13:CZ13" si="30">SUM(CN10:CN12)</f>
        <v>8487.0499999999993</v>
      </c>
      <c r="CO13" s="420">
        <f t="shared" si="30"/>
        <v>8487.0499999999993</v>
      </c>
      <c r="CP13" s="420">
        <f t="shared" si="30"/>
        <v>8487.0499999999993</v>
      </c>
      <c r="CQ13" s="420">
        <f t="shared" si="30"/>
        <v>8487.0499999999993</v>
      </c>
      <c r="CR13" s="420">
        <f t="shared" si="30"/>
        <v>8487.0499999999993</v>
      </c>
      <c r="CS13" s="420">
        <f t="shared" si="30"/>
        <v>8487.0499999999993</v>
      </c>
      <c r="CT13" s="420">
        <f t="shared" si="30"/>
        <v>8487.0499999999993</v>
      </c>
      <c r="CU13" s="420">
        <f t="shared" si="30"/>
        <v>8487.0499999999993</v>
      </c>
      <c r="CV13" s="420">
        <f t="shared" si="30"/>
        <v>8487.0499999999993</v>
      </c>
      <c r="CW13" s="420">
        <f t="shared" si="30"/>
        <v>8487.0499999999993</v>
      </c>
      <c r="CX13" s="420">
        <f t="shared" si="30"/>
        <v>8487.0499999999993</v>
      </c>
      <c r="CY13" s="420">
        <f t="shared" si="30"/>
        <v>8487.0499999999993</v>
      </c>
      <c r="CZ13" s="427">
        <f t="shared" si="30"/>
        <v>101844.59999999998</v>
      </c>
      <c r="XET13" s="449"/>
      <c r="XEU13" s="449"/>
      <c r="XEV13" s="449"/>
      <c r="XEW13" s="449"/>
      <c r="XEX13" s="449"/>
      <c r="XEY13" s="449"/>
      <c r="XEZ13" s="449"/>
      <c r="XFA13" s="449"/>
      <c r="XFB13" s="449"/>
      <c r="XFC13" s="449"/>
      <c r="XFD13" s="449"/>
    </row>
    <row r="14" spans="1:104 16374:16384" ht="14.5" x14ac:dyDescent="0.4">
      <c r="E14" s="450"/>
      <c r="G14" s="357"/>
      <c r="T14" s="433">
        <f>SUM(T9:T12)-T13</f>
        <v>0</v>
      </c>
      <c r="AH14" s="434">
        <f>SUM(AH9:AH12)-AH13</f>
        <v>0</v>
      </c>
      <c r="AV14" s="205">
        <f>SUM(AV9:AV12)-AV13</f>
        <v>0</v>
      </c>
      <c r="AW14" s="314"/>
      <c r="BJ14" s="451">
        <f>SUM(BJ10:BJ12)-BJ13</f>
        <v>0</v>
      </c>
      <c r="BX14" s="359"/>
      <c r="CL14" s="359"/>
      <c r="CZ14" s="359"/>
    </row>
    <row r="15" spans="1:104 16374:16384" ht="14.5" x14ac:dyDescent="0.4">
      <c r="B15" s="139" t="s">
        <v>529</v>
      </c>
      <c r="C15" s="438" t="s">
        <v>530</v>
      </c>
      <c r="D15" s="438" t="s">
        <v>531</v>
      </c>
      <c r="F15" s="268"/>
      <c r="G15" s="439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369"/>
      <c r="U15" s="440">
        <f>1+U2</f>
        <v>1.04</v>
      </c>
      <c r="V15" s="268"/>
      <c r="W15" s="268"/>
      <c r="X15" s="268"/>
      <c r="Y15" s="268"/>
      <c r="Z15" s="268"/>
      <c r="AA15" s="268"/>
      <c r="AB15" s="268"/>
      <c r="AC15" s="268"/>
      <c r="AD15" s="268"/>
      <c r="AE15" s="268"/>
      <c r="AF15" s="268"/>
      <c r="AG15" s="268"/>
      <c r="AH15" s="371"/>
      <c r="AI15" s="440">
        <f>U15+AI$2</f>
        <v>1.073</v>
      </c>
      <c r="AJ15" s="268"/>
      <c r="AK15" s="268"/>
      <c r="AL15" s="268"/>
      <c r="AM15" s="268"/>
      <c r="AN15" s="268"/>
      <c r="AO15" s="268"/>
      <c r="AP15" s="268"/>
      <c r="AQ15" s="268"/>
      <c r="AR15" s="268"/>
      <c r="AS15" s="268"/>
      <c r="AT15" s="268"/>
      <c r="AU15" s="268"/>
      <c r="AV15" s="372"/>
      <c r="AW15" s="452">
        <f>AI15+AW$2</f>
        <v>1.103</v>
      </c>
      <c r="AX15" s="268"/>
      <c r="AY15" s="268"/>
      <c r="AZ15" s="268"/>
      <c r="BA15" s="268"/>
      <c r="BB15" s="268"/>
      <c r="BC15" s="268"/>
      <c r="BD15" s="268"/>
      <c r="BE15" s="268"/>
      <c r="BF15" s="268"/>
      <c r="BG15" s="268"/>
      <c r="BH15" s="268"/>
      <c r="BI15" s="268"/>
      <c r="BJ15" s="373"/>
      <c r="BK15" s="440">
        <f>AW15+BK2</f>
        <v>1.131</v>
      </c>
      <c r="BL15" s="268"/>
      <c r="BM15" s="268"/>
      <c r="BN15" s="268"/>
      <c r="BO15" s="268"/>
      <c r="BP15" s="268"/>
      <c r="BQ15" s="268"/>
      <c r="BR15" s="268"/>
      <c r="BS15" s="268"/>
      <c r="BT15" s="268"/>
      <c r="BU15" s="268"/>
      <c r="BV15" s="268"/>
      <c r="BW15" s="268"/>
      <c r="BX15" s="374"/>
      <c r="BY15" s="440">
        <f>BK15+BY2</f>
        <v>1.159</v>
      </c>
      <c r="BZ15" s="268"/>
      <c r="CA15" s="268"/>
      <c r="CB15" s="268"/>
      <c r="CC15" s="268"/>
      <c r="CD15" s="268"/>
      <c r="CE15" s="268"/>
      <c r="CF15" s="268"/>
      <c r="CG15" s="268"/>
      <c r="CH15" s="268"/>
      <c r="CI15" s="268"/>
      <c r="CJ15" s="268"/>
      <c r="CK15" s="268"/>
      <c r="CL15" s="374"/>
      <c r="CM15" s="440">
        <f>BY15+CM2</f>
        <v>1.1870000000000001</v>
      </c>
      <c r="CN15" s="268"/>
      <c r="CO15" s="268"/>
      <c r="CP15" s="268"/>
      <c r="CQ15" s="268"/>
      <c r="CR15" s="268"/>
      <c r="CS15" s="268"/>
      <c r="CT15" s="268"/>
      <c r="CU15" s="268"/>
      <c r="CV15" s="268"/>
      <c r="CW15" s="268"/>
      <c r="CX15" s="268"/>
      <c r="CY15" s="268"/>
      <c r="CZ15" s="374"/>
    </row>
    <row r="16" spans="1:104 16374:16384" ht="14.5" x14ac:dyDescent="0.4">
      <c r="A16" s="73" t="s">
        <v>532</v>
      </c>
      <c r="B16" s="428" t="s">
        <v>10</v>
      </c>
      <c r="C16" s="231"/>
      <c r="D16" s="231"/>
      <c r="E16" s="453"/>
      <c r="F16" s="169"/>
      <c r="G16" s="454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229">
        <v>17270</v>
      </c>
      <c r="T16" s="443">
        <f t="shared" ref="T16:T27" si="31">SUM(H16:S16)</f>
        <v>17270</v>
      </c>
      <c r="U16" s="133"/>
      <c r="V16" s="163"/>
      <c r="W16" s="163"/>
      <c r="X16" s="163"/>
      <c r="Y16" s="163"/>
      <c r="Z16" s="169"/>
      <c r="AA16" s="169"/>
      <c r="AB16" s="169">
        <f t="shared" ref="AB16:AG16" si="32">$D16*$U15</f>
        <v>0</v>
      </c>
      <c r="AC16" s="169">
        <f t="shared" si="32"/>
        <v>0</v>
      </c>
      <c r="AD16" s="169">
        <f t="shared" si="32"/>
        <v>0</v>
      </c>
      <c r="AE16" s="169">
        <f t="shared" si="32"/>
        <v>0</v>
      </c>
      <c r="AF16" s="169">
        <f t="shared" si="32"/>
        <v>0</v>
      </c>
      <c r="AG16" s="169">
        <f t="shared" si="32"/>
        <v>0</v>
      </c>
      <c r="AH16" s="221">
        <f t="shared" ref="AH16:AH33" si="33">SUM(V16:AG16)</f>
        <v>0</v>
      </c>
      <c r="AI16" s="133"/>
      <c r="AJ16" s="169">
        <f t="shared" ref="AJ16:AU16" si="34">+$D16*$AI15</f>
        <v>0</v>
      </c>
      <c r="AK16" s="169">
        <f t="shared" si="34"/>
        <v>0</v>
      </c>
      <c r="AL16" s="169">
        <f t="shared" si="34"/>
        <v>0</v>
      </c>
      <c r="AM16" s="169">
        <f t="shared" si="34"/>
        <v>0</v>
      </c>
      <c r="AN16" s="169">
        <f t="shared" si="34"/>
        <v>0</v>
      </c>
      <c r="AO16" s="169">
        <f t="shared" si="34"/>
        <v>0</v>
      </c>
      <c r="AP16" s="169">
        <f t="shared" si="34"/>
        <v>0</v>
      </c>
      <c r="AQ16" s="169">
        <f t="shared" si="34"/>
        <v>0</v>
      </c>
      <c r="AR16" s="169">
        <f t="shared" si="34"/>
        <v>0</v>
      </c>
      <c r="AS16" s="169">
        <f t="shared" si="34"/>
        <v>0</v>
      </c>
      <c r="AT16" s="169">
        <f t="shared" si="34"/>
        <v>0</v>
      </c>
      <c r="AU16" s="169">
        <f t="shared" si="34"/>
        <v>0</v>
      </c>
      <c r="AV16" s="223">
        <f>SUM(AJ16:AU16)</f>
        <v>0</v>
      </c>
      <c r="AW16" s="133"/>
      <c r="AX16" s="169">
        <f t="shared" ref="AX16:BI16" si="35">+$D16*$AW15</f>
        <v>0</v>
      </c>
      <c r="AY16" s="169">
        <f t="shared" si="35"/>
        <v>0</v>
      </c>
      <c r="AZ16" s="169">
        <f t="shared" si="35"/>
        <v>0</v>
      </c>
      <c r="BA16" s="169">
        <f t="shared" si="35"/>
        <v>0</v>
      </c>
      <c r="BB16" s="169">
        <f t="shared" si="35"/>
        <v>0</v>
      </c>
      <c r="BC16" s="169">
        <f t="shared" si="35"/>
        <v>0</v>
      </c>
      <c r="BD16" s="169">
        <f t="shared" si="35"/>
        <v>0</v>
      </c>
      <c r="BE16" s="169">
        <f t="shared" si="35"/>
        <v>0</v>
      </c>
      <c r="BF16" s="169">
        <f t="shared" si="35"/>
        <v>0</v>
      </c>
      <c r="BG16" s="169">
        <f t="shared" si="35"/>
        <v>0</v>
      </c>
      <c r="BH16" s="169">
        <f t="shared" si="35"/>
        <v>0</v>
      </c>
      <c r="BI16" s="169">
        <f t="shared" si="35"/>
        <v>0</v>
      </c>
      <c r="BJ16" s="444">
        <f>SUM(AX16:BI16)</f>
        <v>0</v>
      </c>
      <c r="BK16" s="133"/>
      <c r="BL16" s="169">
        <f t="shared" ref="BL16:BW16" si="36">+$D16*$BK15</f>
        <v>0</v>
      </c>
      <c r="BM16" s="169">
        <f t="shared" si="36"/>
        <v>0</v>
      </c>
      <c r="BN16" s="169">
        <f t="shared" si="36"/>
        <v>0</v>
      </c>
      <c r="BO16" s="169">
        <f t="shared" si="36"/>
        <v>0</v>
      </c>
      <c r="BP16" s="169">
        <f t="shared" si="36"/>
        <v>0</v>
      </c>
      <c r="BQ16" s="169">
        <f t="shared" si="36"/>
        <v>0</v>
      </c>
      <c r="BR16" s="169">
        <f t="shared" si="36"/>
        <v>0</v>
      </c>
      <c r="BS16" s="169">
        <f t="shared" si="36"/>
        <v>0</v>
      </c>
      <c r="BT16" s="169">
        <f t="shared" si="36"/>
        <v>0</v>
      </c>
      <c r="BU16" s="169">
        <f t="shared" si="36"/>
        <v>0</v>
      </c>
      <c r="BV16" s="169">
        <f t="shared" si="36"/>
        <v>0</v>
      </c>
      <c r="BW16" s="169">
        <f t="shared" si="36"/>
        <v>0</v>
      </c>
      <c r="BX16" s="445">
        <f>SUM(BL16:BW16)</f>
        <v>0</v>
      </c>
      <c r="BY16" s="133"/>
      <c r="BZ16" s="169">
        <f t="shared" ref="BZ16:CK16" si="37">+$D16*$BK15</f>
        <v>0</v>
      </c>
      <c r="CA16" s="169">
        <f t="shared" si="37"/>
        <v>0</v>
      </c>
      <c r="CB16" s="169">
        <f t="shared" si="37"/>
        <v>0</v>
      </c>
      <c r="CC16" s="169">
        <f t="shared" si="37"/>
        <v>0</v>
      </c>
      <c r="CD16" s="169">
        <f t="shared" si="37"/>
        <v>0</v>
      </c>
      <c r="CE16" s="169">
        <f t="shared" si="37"/>
        <v>0</v>
      </c>
      <c r="CF16" s="169">
        <f t="shared" si="37"/>
        <v>0</v>
      </c>
      <c r="CG16" s="169">
        <f t="shared" si="37"/>
        <v>0</v>
      </c>
      <c r="CH16" s="169">
        <f t="shared" si="37"/>
        <v>0</v>
      </c>
      <c r="CI16" s="169">
        <f t="shared" si="37"/>
        <v>0</v>
      </c>
      <c r="CJ16" s="169">
        <f t="shared" si="37"/>
        <v>0</v>
      </c>
      <c r="CK16" s="169">
        <f t="shared" si="37"/>
        <v>0</v>
      </c>
      <c r="CL16" s="445">
        <f>SUM(BZ16:CK16)</f>
        <v>0</v>
      </c>
      <c r="CM16" s="133"/>
      <c r="CN16" s="169">
        <f t="shared" ref="CN16:CY16" si="38">+$D16*$BK15</f>
        <v>0</v>
      </c>
      <c r="CO16" s="169">
        <f t="shared" si="38"/>
        <v>0</v>
      </c>
      <c r="CP16" s="169">
        <f t="shared" si="38"/>
        <v>0</v>
      </c>
      <c r="CQ16" s="169">
        <f t="shared" si="38"/>
        <v>0</v>
      </c>
      <c r="CR16" s="169">
        <f t="shared" si="38"/>
        <v>0</v>
      </c>
      <c r="CS16" s="169">
        <f t="shared" si="38"/>
        <v>0</v>
      </c>
      <c r="CT16" s="169">
        <f t="shared" si="38"/>
        <v>0</v>
      </c>
      <c r="CU16" s="169">
        <f t="shared" si="38"/>
        <v>0</v>
      </c>
      <c r="CV16" s="169">
        <f t="shared" si="38"/>
        <v>0</v>
      </c>
      <c r="CW16" s="169">
        <f t="shared" si="38"/>
        <v>0</v>
      </c>
      <c r="CX16" s="169">
        <f t="shared" si="38"/>
        <v>0</v>
      </c>
      <c r="CY16" s="169">
        <f t="shared" si="38"/>
        <v>0</v>
      </c>
      <c r="CZ16" s="445">
        <f>SUM(CN16:CY16)</f>
        <v>0</v>
      </c>
    </row>
    <row r="17" spans="1:104 16374:16384" ht="14.5" x14ac:dyDescent="0.4">
      <c r="A17" s="73">
        <v>7021</v>
      </c>
      <c r="B17" s="428" t="s">
        <v>533</v>
      </c>
      <c r="C17" s="231"/>
      <c r="D17" s="231"/>
      <c r="E17" s="453"/>
      <c r="F17" s="169"/>
      <c r="G17" s="454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229"/>
      <c r="T17" s="443">
        <f t="shared" si="31"/>
        <v>0</v>
      </c>
      <c r="U17" s="133"/>
      <c r="V17" s="163"/>
      <c r="W17" s="163"/>
      <c r="X17" s="163"/>
      <c r="Y17" s="163"/>
      <c r="Z17" s="169">
        <v>1744</v>
      </c>
      <c r="AA17" s="169"/>
      <c r="AB17" s="169"/>
      <c r="AC17" s="169"/>
      <c r="AD17" s="169"/>
      <c r="AE17" s="169"/>
      <c r="AF17" s="169"/>
      <c r="AG17" s="169"/>
      <c r="AH17" s="221">
        <f t="shared" si="33"/>
        <v>1744</v>
      </c>
      <c r="AI17" s="133"/>
      <c r="AJ17" s="169"/>
      <c r="AK17" s="169"/>
      <c r="AL17" s="169"/>
      <c r="AM17" s="169"/>
      <c r="AN17" s="169"/>
      <c r="AO17" s="169"/>
      <c r="AP17" s="169"/>
      <c r="AQ17" s="169"/>
      <c r="AR17" s="169"/>
      <c r="AS17" s="169"/>
      <c r="AT17" s="169"/>
      <c r="AU17" s="169"/>
      <c r="AV17" s="223"/>
      <c r="AW17" s="133"/>
      <c r="AX17" s="169"/>
      <c r="AY17" s="169"/>
      <c r="AZ17" s="169"/>
      <c r="BA17" s="169"/>
      <c r="BB17" s="169"/>
      <c r="BC17" s="169"/>
      <c r="BD17" s="169"/>
      <c r="BE17" s="169"/>
      <c r="BF17" s="169"/>
      <c r="BG17" s="169"/>
      <c r="BH17" s="169"/>
      <c r="BI17" s="169"/>
      <c r="BJ17" s="444"/>
      <c r="BK17" s="133"/>
      <c r="BL17" s="169"/>
      <c r="BM17" s="169"/>
      <c r="BN17" s="169"/>
      <c r="BO17" s="169"/>
      <c r="BP17" s="169"/>
      <c r="BQ17" s="169"/>
      <c r="BR17" s="169"/>
      <c r="BS17" s="169"/>
      <c r="BT17" s="169"/>
      <c r="BU17" s="169"/>
      <c r="BV17" s="169"/>
      <c r="BW17" s="169"/>
      <c r="BX17" s="445"/>
      <c r="BY17" s="133"/>
      <c r="BZ17" s="169"/>
      <c r="CA17" s="169"/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445"/>
      <c r="CM17" s="133"/>
      <c r="CN17" s="169"/>
      <c r="CO17" s="169"/>
      <c r="CP17" s="169"/>
      <c r="CQ17" s="169"/>
      <c r="CR17" s="169"/>
      <c r="CS17" s="169"/>
      <c r="CT17" s="169"/>
      <c r="CU17" s="169"/>
      <c r="CV17" s="169"/>
      <c r="CW17" s="169"/>
      <c r="CX17" s="169"/>
      <c r="CY17" s="169"/>
      <c r="CZ17" s="445"/>
    </row>
    <row r="18" spans="1:104 16374:16384" ht="14.5" x14ac:dyDescent="0.4">
      <c r="A18" s="73" t="s">
        <v>534</v>
      </c>
      <c r="B18" s="428" t="s">
        <v>535</v>
      </c>
      <c r="C18" s="275">
        <f>Wartungskosten!B22</f>
        <v>7384.2</v>
      </c>
      <c r="D18" s="275">
        <f>C18/12</f>
        <v>615.35</v>
      </c>
      <c r="E18" s="453"/>
      <c r="F18" s="169"/>
      <c r="G18" s="454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229">
        <v>0</v>
      </c>
      <c r="T18" s="443">
        <f t="shared" si="31"/>
        <v>0</v>
      </c>
      <c r="U18" s="133"/>
      <c r="V18" s="163"/>
      <c r="W18" s="163"/>
      <c r="X18" s="163"/>
      <c r="Y18" s="163"/>
      <c r="Z18" s="169"/>
      <c r="AA18" s="169"/>
      <c r="AB18" s="169">
        <f t="shared" ref="AB18:AG18" si="39">$D18*$U16</f>
        <v>0</v>
      </c>
      <c r="AC18" s="169">
        <f t="shared" si="39"/>
        <v>0</v>
      </c>
      <c r="AD18" s="169">
        <f t="shared" si="39"/>
        <v>0</v>
      </c>
      <c r="AE18" s="169">
        <f t="shared" si="39"/>
        <v>0</v>
      </c>
      <c r="AF18" s="169">
        <f t="shared" si="39"/>
        <v>0</v>
      </c>
      <c r="AG18" s="169">
        <f t="shared" si="39"/>
        <v>0</v>
      </c>
      <c r="AH18" s="221">
        <f t="shared" si="33"/>
        <v>0</v>
      </c>
      <c r="AI18" s="133"/>
      <c r="AJ18" s="169">
        <f t="shared" ref="AJ18:AU18" si="40">$D$18</f>
        <v>615.35</v>
      </c>
      <c r="AK18" s="169">
        <f t="shared" si="40"/>
        <v>615.35</v>
      </c>
      <c r="AL18" s="169">
        <f t="shared" si="40"/>
        <v>615.35</v>
      </c>
      <c r="AM18" s="169">
        <f t="shared" si="40"/>
        <v>615.35</v>
      </c>
      <c r="AN18" s="169">
        <f t="shared" si="40"/>
        <v>615.35</v>
      </c>
      <c r="AO18" s="169">
        <f t="shared" si="40"/>
        <v>615.35</v>
      </c>
      <c r="AP18" s="169">
        <f t="shared" si="40"/>
        <v>615.35</v>
      </c>
      <c r="AQ18" s="169">
        <f t="shared" si="40"/>
        <v>615.35</v>
      </c>
      <c r="AR18" s="169">
        <f t="shared" si="40"/>
        <v>615.35</v>
      </c>
      <c r="AS18" s="169">
        <f t="shared" si="40"/>
        <v>615.35</v>
      </c>
      <c r="AT18" s="169">
        <f t="shared" si="40"/>
        <v>615.35</v>
      </c>
      <c r="AU18" s="169">
        <f t="shared" si="40"/>
        <v>615.35</v>
      </c>
      <c r="AV18" s="223">
        <f>SUM(AJ18:AU18)</f>
        <v>7384.2000000000016</v>
      </c>
      <c r="AW18" s="133"/>
      <c r="AX18" s="169">
        <f t="shared" ref="AX18:BI18" si="41">+$D18*$AW16</f>
        <v>0</v>
      </c>
      <c r="AY18" s="169">
        <f t="shared" si="41"/>
        <v>0</v>
      </c>
      <c r="AZ18" s="169">
        <f t="shared" si="41"/>
        <v>0</v>
      </c>
      <c r="BA18" s="169">
        <f t="shared" si="41"/>
        <v>0</v>
      </c>
      <c r="BB18" s="169">
        <f t="shared" si="41"/>
        <v>0</v>
      </c>
      <c r="BC18" s="169">
        <f t="shared" si="41"/>
        <v>0</v>
      </c>
      <c r="BD18" s="169">
        <f t="shared" si="41"/>
        <v>0</v>
      </c>
      <c r="BE18" s="169">
        <f t="shared" si="41"/>
        <v>0</v>
      </c>
      <c r="BF18" s="169">
        <f t="shared" si="41"/>
        <v>0</v>
      </c>
      <c r="BG18" s="169">
        <f t="shared" si="41"/>
        <v>0</v>
      </c>
      <c r="BH18" s="169">
        <f t="shared" si="41"/>
        <v>0</v>
      </c>
      <c r="BI18" s="169">
        <f t="shared" si="41"/>
        <v>0</v>
      </c>
      <c r="BJ18" s="444">
        <f>SUM(AX18:BI18)</f>
        <v>0</v>
      </c>
      <c r="BK18" s="133"/>
      <c r="BL18" s="169">
        <f t="shared" ref="BL18:BW18" si="42">+$D18*$BK16</f>
        <v>0</v>
      </c>
      <c r="BM18" s="169">
        <f t="shared" si="42"/>
        <v>0</v>
      </c>
      <c r="BN18" s="169">
        <f t="shared" si="42"/>
        <v>0</v>
      </c>
      <c r="BO18" s="169">
        <f t="shared" si="42"/>
        <v>0</v>
      </c>
      <c r="BP18" s="169">
        <f t="shared" si="42"/>
        <v>0</v>
      </c>
      <c r="BQ18" s="169">
        <f t="shared" si="42"/>
        <v>0</v>
      </c>
      <c r="BR18" s="169">
        <f t="shared" si="42"/>
        <v>0</v>
      </c>
      <c r="BS18" s="169">
        <f t="shared" si="42"/>
        <v>0</v>
      </c>
      <c r="BT18" s="169">
        <f t="shared" si="42"/>
        <v>0</v>
      </c>
      <c r="BU18" s="169">
        <f t="shared" si="42"/>
        <v>0</v>
      </c>
      <c r="BV18" s="169">
        <f t="shared" si="42"/>
        <v>0</v>
      </c>
      <c r="BW18" s="169">
        <f t="shared" si="42"/>
        <v>0</v>
      </c>
      <c r="BX18" s="445">
        <f>SUM(BL18:BW18)</f>
        <v>0</v>
      </c>
      <c r="BY18" s="133"/>
      <c r="BZ18" s="169">
        <f t="shared" ref="BZ18:CK18" si="43">+$D18*$BK16</f>
        <v>0</v>
      </c>
      <c r="CA18" s="169">
        <f t="shared" si="43"/>
        <v>0</v>
      </c>
      <c r="CB18" s="169">
        <f t="shared" si="43"/>
        <v>0</v>
      </c>
      <c r="CC18" s="169">
        <f t="shared" si="43"/>
        <v>0</v>
      </c>
      <c r="CD18" s="169">
        <f t="shared" si="43"/>
        <v>0</v>
      </c>
      <c r="CE18" s="169">
        <f t="shared" si="43"/>
        <v>0</v>
      </c>
      <c r="CF18" s="169">
        <f t="shared" si="43"/>
        <v>0</v>
      </c>
      <c r="CG18" s="169">
        <f t="shared" si="43"/>
        <v>0</v>
      </c>
      <c r="CH18" s="169">
        <f t="shared" si="43"/>
        <v>0</v>
      </c>
      <c r="CI18" s="169">
        <f t="shared" si="43"/>
        <v>0</v>
      </c>
      <c r="CJ18" s="169">
        <f t="shared" si="43"/>
        <v>0</v>
      </c>
      <c r="CK18" s="169">
        <f t="shared" si="43"/>
        <v>0</v>
      </c>
      <c r="CL18" s="445">
        <f>SUM(BZ18:CK18)</f>
        <v>0</v>
      </c>
      <c r="CM18" s="133"/>
      <c r="CN18" s="169">
        <f t="shared" ref="CN18:CY18" si="44">+$D18*$BK16</f>
        <v>0</v>
      </c>
      <c r="CO18" s="169">
        <f t="shared" si="44"/>
        <v>0</v>
      </c>
      <c r="CP18" s="169">
        <f t="shared" si="44"/>
        <v>0</v>
      </c>
      <c r="CQ18" s="169">
        <f t="shared" si="44"/>
        <v>0</v>
      </c>
      <c r="CR18" s="169">
        <f t="shared" si="44"/>
        <v>0</v>
      </c>
      <c r="CS18" s="169">
        <f t="shared" si="44"/>
        <v>0</v>
      </c>
      <c r="CT18" s="169">
        <f t="shared" si="44"/>
        <v>0</v>
      </c>
      <c r="CU18" s="169">
        <f t="shared" si="44"/>
        <v>0</v>
      </c>
      <c r="CV18" s="169">
        <f t="shared" si="44"/>
        <v>0</v>
      </c>
      <c r="CW18" s="169">
        <f t="shared" si="44"/>
        <v>0</v>
      </c>
      <c r="CX18" s="169">
        <f t="shared" si="44"/>
        <v>0</v>
      </c>
      <c r="CY18" s="169">
        <f t="shared" si="44"/>
        <v>0</v>
      </c>
      <c r="CZ18" s="445">
        <f>SUM(CN18:CY18)</f>
        <v>0</v>
      </c>
    </row>
    <row r="19" spans="1:104 16374:16384" s="251" customFormat="1" ht="14.5" x14ac:dyDescent="0.4">
      <c r="A19" s="73">
        <v>7200</v>
      </c>
      <c r="B19" s="428" t="s">
        <v>187</v>
      </c>
      <c r="C19" s="455">
        <v>0</v>
      </c>
      <c r="D19" s="275">
        <f>C19/12</f>
        <v>0</v>
      </c>
      <c r="E19" s="429"/>
      <c r="F19" s="169"/>
      <c r="G19" s="456">
        <f>F19</f>
        <v>0</v>
      </c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229">
        <v>0</v>
      </c>
      <c r="T19" s="443">
        <f t="shared" si="31"/>
        <v>0</v>
      </c>
      <c r="U19" s="31"/>
      <c r="V19" s="169"/>
      <c r="W19" s="169"/>
      <c r="X19" s="169">
        <v>500</v>
      </c>
      <c r="Y19" s="169"/>
      <c r="Z19" s="169"/>
      <c r="AA19" s="169"/>
      <c r="AB19" s="169">
        <f t="shared" ref="AB19:AG19" si="45">+$C19/12*$U12</f>
        <v>0</v>
      </c>
      <c r="AC19" s="169">
        <f t="shared" si="45"/>
        <v>0</v>
      </c>
      <c r="AD19" s="169">
        <f t="shared" si="45"/>
        <v>0</v>
      </c>
      <c r="AE19" s="169">
        <f t="shared" si="45"/>
        <v>0</v>
      </c>
      <c r="AF19" s="169">
        <f t="shared" si="45"/>
        <v>0</v>
      </c>
      <c r="AG19" s="169">
        <f t="shared" si="45"/>
        <v>0</v>
      </c>
      <c r="AH19" s="221">
        <f t="shared" si="33"/>
        <v>500</v>
      </c>
      <c r="AI19" s="31"/>
      <c r="AJ19" s="169">
        <f t="shared" ref="AJ19:AU19" si="46">+$C19/12*$AI12</f>
        <v>0</v>
      </c>
      <c r="AK19" s="169">
        <f t="shared" si="46"/>
        <v>0</v>
      </c>
      <c r="AL19" s="169">
        <f t="shared" si="46"/>
        <v>0</v>
      </c>
      <c r="AM19" s="169">
        <f t="shared" si="46"/>
        <v>0</v>
      </c>
      <c r="AN19" s="169">
        <f t="shared" si="46"/>
        <v>0</v>
      </c>
      <c r="AO19" s="169">
        <f t="shared" si="46"/>
        <v>0</v>
      </c>
      <c r="AP19" s="169">
        <f t="shared" si="46"/>
        <v>0</v>
      </c>
      <c r="AQ19" s="169">
        <f t="shared" si="46"/>
        <v>0</v>
      </c>
      <c r="AR19" s="169">
        <f t="shared" si="46"/>
        <v>0</v>
      </c>
      <c r="AS19" s="169">
        <f t="shared" si="46"/>
        <v>0</v>
      </c>
      <c r="AT19" s="169">
        <f t="shared" si="46"/>
        <v>0</v>
      </c>
      <c r="AU19" s="169">
        <f t="shared" si="46"/>
        <v>0</v>
      </c>
      <c r="AV19" s="223">
        <f>SUM(AJ19:AU19)</f>
        <v>0</v>
      </c>
      <c r="AW19" s="31"/>
      <c r="AX19" s="169">
        <f t="shared" ref="AX19:BI19" si="47">+$C19/12*$AW12</f>
        <v>0</v>
      </c>
      <c r="AY19" s="169">
        <f t="shared" si="47"/>
        <v>0</v>
      </c>
      <c r="AZ19" s="169">
        <f t="shared" si="47"/>
        <v>0</v>
      </c>
      <c r="BA19" s="169">
        <f t="shared" si="47"/>
        <v>0</v>
      </c>
      <c r="BB19" s="169">
        <f t="shared" si="47"/>
        <v>0</v>
      </c>
      <c r="BC19" s="169">
        <f t="shared" si="47"/>
        <v>0</v>
      </c>
      <c r="BD19" s="169">
        <f t="shared" si="47"/>
        <v>0</v>
      </c>
      <c r="BE19" s="169">
        <f t="shared" si="47"/>
        <v>0</v>
      </c>
      <c r="BF19" s="169">
        <f t="shared" si="47"/>
        <v>0</v>
      </c>
      <c r="BG19" s="169">
        <f t="shared" si="47"/>
        <v>0</v>
      </c>
      <c r="BH19" s="169">
        <f t="shared" si="47"/>
        <v>0</v>
      </c>
      <c r="BI19" s="169">
        <f t="shared" si="47"/>
        <v>0</v>
      </c>
      <c r="BJ19" s="444">
        <f>SUM(AX19:BI19)</f>
        <v>0</v>
      </c>
      <c r="BK19" s="31"/>
      <c r="BL19" s="169">
        <f t="shared" ref="BL19:BW19" si="48">+$C19/12*$BK12</f>
        <v>0</v>
      </c>
      <c r="BM19" s="169">
        <f t="shared" si="48"/>
        <v>0</v>
      </c>
      <c r="BN19" s="169">
        <f t="shared" si="48"/>
        <v>0</v>
      </c>
      <c r="BO19" s="169">
        <f t="shared" si="48"/>
        <v>0</v>
      </c>
      <c r="BP19" s="169">
        <f t="shared" si="48"/>
        <v>0</v>
      </c>
      <c r="BQ19" s="169">
        <f t="shared" si="48"/>
        <v>0</v>
      </c>
      <c r="BR19" s="169">
        <f t="shared" si="48"/>
        <v>0</v>
      </c>
      <c r="BS19" s="169">
        <f t="shared" si="48"/>
        <v>0</v>
      </c>
      <c r="BT19" s="169">
        <f t="shared" si="48"/>
        <v>0</v>
      </c>
      <c r="BU19" s="169">
        <f t="shared" si="48"/>
        <v>0</v>
      </c>
      <c r="BV19" s="169">
        <f t="shared" si="48"/>
        <v>0</v>
      </c>
      <c r="BW19" s="169">
        <f t="shared" si="48"/>
        <v>0</v>
      </c>
      <c r="BX19" s="445">
        <f>SUM(BL19:BW19)</f>
        <v>0</v>
      </c>
      <c r="BY19" s="31"/>
      <c r="BZ19" s="169">
        <f t="shared" ref="BZ19:CK19" si="49">+$C19/12*$BK12</f>
        <v>0</v>
      </c>
      <c r="CA19" s="169">
        <f t="shared" si="49"/>
        <v>0</v>
      </c>
      <c r="CB19" s="169">
        <f t="shared" si="49"/>
        <v>0</v>
      </c>
      <c r="CC19" s="169">
        <f t="shared" si="49"/>
        <v>0</v>
      </c>
      <c r="CD19" s="169">
        <f t="shared" si="49"/>
        <v>0</v>
      </c>
      <c r="CE19" s="169">
        <f t="shared" si="49"/>
        <v>0</v>
      </c>
      <c r="CF19" s="169">
        <f t="shared" si="49"/>
        <v>0</v>
      </c>
      <c r="CG19" s="169">
        <f t="shared" si="49"/>
        <v>0</v>
      </c>
      <c r="CH19" s="169">
        <f t="shared" si="49"/>
        <v>0</v>
      </c>
      <c r="CI19" s="169">
        <f t="shared" si="49"/>
        <v>0</v>
      </c>
      <c r="CJ19" s="169">
        <f t="shared" si="49"/>
        <v>0</v>
      </c>
      <c r="CK19" s="169">
        <f t="shared" si="49"/>
        <v>0</v>
      </c>
      <c r="CL19" s="445">
        <f>SUM(BZ19:CK19)</f>
        <v>0</v>
      </c>
      <c r="CM19" s="31"/>
      <c r="CN19" s="169">
        <f t="shared" ref="CN19:CY19" si="50">+$C19/12*$BK12</f>
        <v>0</v>
      </c>
      <c r="CO19" s="169">
        <f t="shared" si="50"/>
        <v>0</v>
      </c>
      <c r="CP19" s="169">
        <f t="shared" si="50"/>
        <v>0</v>
      </c>
      <c r="CQ19" s="169">
        <f t="shared" si="50"/>
        <v>0</v>
      </c>
      <c r="CR19" s="169">
        <f t="shared" si="50"/>
        <v>0</v>
      </c>
      <c r="CS19" s="169">
        <f t="shared" si="50"/>
        <v>0</v>
      </c>
      <c r="CT19" s="169">
        <f t="shared" si="50"/>
        <v>0</v>
      </c>
      <c r="CU19" s="169">
        <f t="shared" si="50"/>
        <v>0</v>
      </c>
      <c r="CV19" s="169">
        <f t="shared" si="50"/>
        <v>0</v>
      </c>
      <c r="CW19" s="169">
        <f t="shared" si="50"/>
        <v>0</v>
      </c>
      <c r="CX19" s="169">
        <f t="shared" si="50"/>
        <v>0</v>
      </c>
      <c r="CY19" s="169">
        <f t="shared" si="50"/>
        <v>0</v>
      </c>
      <c r="CZ19" s="445">
        <f>SUM(CN19:CY19)</f>
        <v>0</v>
      </c>
      <c r="XET19" s="35"/>
      <c r="XEU19" s="35"/>
      <c r="XEV19" s="35"/>
      <c r="XEW19" s="35"/>
      <c r="XEX19" s="35"/>
      <c r="XEY19" s="35"/>
      <c r="XEZ19" s="35"/>
      <c r="XFA19" s="35"/>
      <c r="XFB19" s="35"/>
      <c r="XFC19" s="35"/>
      <c r="XFD19" s="35"/>
    </row>
    <row r="20" spans="1:104 16374:16384" ht="14.5" x14ac:dyDescent="0.4">
      <c r="A20" s="73">
        <v>7206</v>
      </c>
      <c r="B20" s="428" t="s">
        <v>188</v>
      </c>
      <c r="C20" s="457">
        <v>0</v>
      </c>
      <c r="D20" s="275">
        <f>C20/12</f>
        <v>0</v>
      </c>
      <c r="E20" s="458"/>
      <c r="F20" s="459"/>
      <c r="G20" s="456">
        <f>F20</f>
        <v>0</v>
      </c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229">
        <f>32365-S30</f>
        <v>15275</v>
      </c>
      <c r="T20" s="443">
        <f t="shared" si="31"/>
        <v>15275</v>
      </c>
      <c r="V20" s="169"/>
      <c r="W20" s="169"/>
      <c r="X20" s="169"/>
      <c r="Y20" s="169"/>
      <c r="Z20" s="169"/>
      <c r="AA20" s="169"/>
      <c r="AB20" s="169">
        <f t="shared" ref="AB20:AG20" si="51">$D20*$U15</f>
        <v>0</v>
      </c>
      <c r="AC20" s="169">
        <f t="shared" si="51"/>
        <v>0</v>
      </c>
      <c r="AD20" s="169">
        <f t="shared" si="51"/>
        <v>0</v>
      </c>
      <c r="AE20" s="169">
        <f t="shared" si="51"/>
        <v>0</v>
      </c>
      <c r="AF20" s="169">
        <f t="shared" si="51"/>
        <v>0</v>
      </c>
      <c r="AG20" s="169">
        <f t="shared" si="51"/>
        <v>0</v>
      </c>
      <c r="AH20" s="221">
        <f t="shared" si="33"/>
        <v>0</v>
      </c>
      <c r="AJ20" s="169">
        <f t="shared" ref="AJ20:AU20" si="52">+$D20*$AI15</f>
        <v>0</v>
      </c>
      <c r="AK20" s="169">
        <f t="shared" si="52"/>
        <v>0</v>
      </c>
      <c r="AL20" s="169">
        <f t="shared" si="52"/>
        <v>0</v>
      </c>
      <c r="AM20" s="169">
        <f t="shared" si="52"/>
        <v>0</v>
      </c>
      <c r="AN20" s="169">
        <f t="shared" si="52"/>
        <v>0</v>
      </c>
      <c r="AO20" s="169">
        <f t="shared" si="52"/>
        <v>0</v>
      </c>
      <c r="AP20" s="169">
        <f t="shared" si="52"/>
        <v>0</v>
      </c>
      <c r="AQ20" s="169">
        <f t="shared" si="52"/>
        <v>0</v>
      </c>
      <c r="AR20" s="169">
        <f t="shared" si="52"/>
        <v>0</v>
      </c>
      <c r="AS20" s="169">
        <f t="shared" si="52"/>
        <v>0</v>
      </c>
      <c r="AT20" s="169">
        <f t="shared" si="52"/>
        <v>0</v>
      </c>
      <c r="AU20" s="169">
        <f t="shared" si="52"/>
        <v>0</v>
      </c>
      <c r="AV20" s="223">
        <f>SUM(AJ20:AU20)</f>
        <v>0</v>
      </c>
      <c r="AX20" s="169">
        <f t="shared" ref="AX20:BI20" si="53">+$D20*$AW15</f>
        <v>0</v>
      </c>
      <c r="AY20" s="169">
        <f t="shared" si="53"/>
        <v>0</v>
      </c>
      <c r="AZ20" s="169">
        <f t="shared" si="53"/>
        <v>0</v>
      </c>
      <c r="BA20" s="169">
        <f t="shared" si="53"/>
        <v>0</v>
      </c>
      <c r="BB20" s="169">
        <f t="shared" si="53"/>
        <v>0</v>
      </c>
      <c r="BC20" s="169">
        <f t="shared" si="53"/>
        <v>0</v>
      </c>
      <c r="BD20" s="169">
        <f t="shared" si="53"/>
        <v>0</v>
      </c>
      <c r="BE20" s="169">
        <f t="shared" si="53"/>
        <v>0</v>
      </c>
      <c r="BF20" s="169">
        <f t="shared" si="53"/>
        <v>0</v>
      </c>
      <c r="BG20" s="169">
        <f t="shared" si="53"/>
        <v>0</v>
      </c>
      <c r="BH20" s="169">
        <f t="shared" si="53"/>
        <v>0</v>
      </c>
      <c r="BI20" s="169">
        <f t="shared" si="53"/>
        <v>0</v>
      </c>
      <c r="BJ20" s="444">
        <f>SUM(AX20:BI20)</f>
        <v>0</v>
      </c>
      <c r="BL20" s="169">
        <f t="shared" ref="BL20:BW20" si="54">+$D20*$BK15</f>
        <v>0</v>
      </c>
      <c r="BM20" s="169">
        <f t="shared" si="54"/>
        <v>0</v>
      </c>
      <c r="BN20" s="169">
        <f t="shared" si="54"/>
        <v>0</v>
      </c>
      <c r="BO20" s="169">
        <f t="shared" si="54"/>
        <v>0</v>
      </c>
      <c r="BP20" s="169">
        <f t="shared" si="54"/>
        <v>0</v>
      </c>
      <c r="BQ20" s="169">
        <f t="shared" si="54"/>
        <v>0</v>
      </c>
      <c r="BR20" s="169">
        <f t="shared" si="54"/>
        <v>0</v>
      </c>
      <c r="BS20" s="169">
        <f t="shared" si="54"/>
        <v>0</v>
      </c>
      <c r="BT20" s="169">
        <f t="shared" si="54"/>
        <v>0</v>
      </c>
      <c r="BU20" s="169">
        <f t="shared" si="54"/>
        <v>0</v>
      </c>
      <c r="BV20" s="169">
        <f t="shared" si="54"/>
        <v>0</v>
      </c>
      <c r="BW20" s="169">
        <f t="shared" si="54"/>
        <v>0</v>
      </c>
      <c r="BX20" s="445">
        <f>SUM(BL20:BW20)</f>
        <v>0</v>
      </c>
      <c r="BZ20" s="169">
        <f t="shared" ref="BZ20:CK20" si="55">+$D20*$BK15</f>
        <v>0</v>
      </c>
      <c r="CA20" s="169">
        <f t="shared" si="55"/>
        <v>0</v>
      </c>
      <c r="CB20" s="169">
        <f t="shared" si="55"/>
        <v>0</v>
      </c>
      <c r="CC20" s="169">
        <f t="shared" si="55"/>
        <v>0</v>
      </c>
      <c r="CD20" s="169">
        <f t="shared" si="55"/>
        <v>0</v>
      </c>
      <c r="CE20" s="169">
        <f t="shared" si="55"/>
        <v>0</v>
      </c>
      <c r="CF20" s="169">
        <f t="shared" si="55"/>
        <v>0</v>
      </c>
      <c r="CG20" s="169">
        <f t="shared" si="55"/>
        <v>0</v>
      </c>
      <c r="CH20" s="169">
        <f t="shared" si="55"/>
        <v>0</v>
      </c>
      <c r="CI20" s="169">
        <f t="shared" si="55"/>
        <v>0</v>
      </c>
      <c r="CJ20" s="169">
        <f t="shared" si="55"/>
        <v>0</v>
      </c>
      <c r="CK20" s="169">
        <f t="shared" si="55"/>
        <v>0</v>
      </c>
      <c r="CL20" s="445">
        <f>SUM(BZ20:CK20)</f>
        <v>0</v>
      </c>
      <c r="CN20" s="169">
        <f t="shared" ref="CN20:CY20" si="56">+$D20*$BK15</f>
        <v>0</v>
      </c>
      <c r="CO20" s="169">
        <f t="shared" si="56"/>
        <v>0</v>
      </c>
      <c r="CP20" s="169">
        <f t="shared" si="56"/>
        <v>0</v>
      </c>
      <c r="CQ20" s="169">
        <f t="shared" si="56"/>
        <v>0</v>
      </c>
      <c r="CR20" s="169">
        <f t="shared" si="56"/>
        <v>0</v>
      </c>
      <c r="CS20" s="169">
        <f t="shared" si="56"/>
        <v>0</v>
      </c>
      <c r="CT20" s="169">
        <f t="shared" si="56"/>
        <v>0</v>
      </c>
      <c r="CU20" s="169">
        <f t="shared" si="56"/>
        <v>0</v>
      </c>
      <c r="CV20" s="169">
        <f t="shared" si="56"/>
        <v>0</v>
      </c>
      <c r="CW20" s="169">
        <f t="shared" si="56"/>
        <v>0</v>
      </c>
      <c r="CX20" s="169">
        <f t="shared" si="56"/>
        <v>0</v>
      </c>
      <c r="CY20" s="169">
        <f t="shared" si="56"/>
        <v>0</v>
      </c>
      <c r="CZ20" s="445">
        <f>SUM(CN20:CY20)</f>
        <v>0</v>
      </c>
    </row>
    <row r="21" spans="1:104 16374:16384" ht="14.5" x14ac:dyDescent="0.4">
      <c r="A21" s="73">
        <v>7215</v>
      </c>
      <c r="B21" s="428" t="s">
        <v>536</v>
      </c>
      <c r="C21" s="231">
        <f>(12*50+3000)*1.1</f>
        <v>3960.0000000000005</v>
      </c>
      <c r="D21" s="275">
        <f>C21/12</f>
        <v>330.00000000000006</v>
      </c>
      <c r="E21" s="429"/>
      <c r="F21" s="169"/>
      <c r="G21" s="456">
        <f>F21</f>
        <v>0</v>
      </c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229"/>
      <c r="T21" s="443">
        <f t="shared" si="31"/>
        <v>0</v>
      </c>
      <c r="V21" s="169">
        <f t="shared" ref="V21:AG21" si="57">+$D21*$U10</f>
        <v>0</v>
      </c>
      <c r="W21" s="169">
        <f t="shared" si="57"/>
        <v>0</v>
      </c>
      <c r="X21" s="169">
        <f t="shared" si="57"/>
        <v>0</v>
      </c>
      <c r="Y21" s="169">
        <f t="shared" si="57"/>
        <v>0</v>
      </c>
      <c r="Z21" s="169">
        <f t="shared" si="57"/>
        <v>0</v>
      </c>
      <c r="AA21" s="169">
        <f t="shared" si="57"/>
        <v>0</v>
      </c>
      <c r="AB21" s="169">
        <f t="shared" si="57"/>
        <v>0</v>
      </c>
      <c r="AC21" s="169">
        <f t="shared" si="57"/>
        <v>0</v>
      </c>
      <c r="AD21" s="169">
        <f t="shared" si="57"/>
        <v>0</v>
      </c>
      <c r="AE21" s="169">
        <f t="shared" si="57"/>
        <v>0</v>
      </c>
      <c r="AF21" s="169">
        <f t="shared" si="57"/>
        <v>0</v>
      </c>
      <c r="AG21" s="169">
        <f t="shared" si="57"/>
        <v>0</v>
      </c>
      <c r="AH21" s="221">
        <f t="shared" si="33"/>
        <v>0</v>
      </c>
      <c r="AJ21" s="169">
        <f t="shared" ref="AJ21:AU21" si="58">+$C21/12*$AI10</f>
        <v>0</v>
      </c>
      <c r="AK21" s="169">
        <f t="shared" si="58"/>
        <v>0</v>
      </c>
      <c r="AL21" s="169">
        <f t="shared" si="58"/>
        <v>0</v>
      </c>
      <c r="AM21" s="169">
        <f t="shared" si="58"/>
        <v>0</v>
      </c>
      <c r="AN21" s="169">
        <f t="shared" si="58"/>
        <v>0</v>
      </c>
      <c r="AO21" s="169">
        <f t="shared" si="58"/>
        <v>0</v>
      </c>
      <c r="AP21" s="169">
        <f t="shared" si="58"/>
        <v>0</v>
      </c>
      <c r="AQ21" s="169">
        <f t="shared" si="58"/>
        <v>0</v>
      </c>
      <c r="AR21" s="169">
        <f t="shared" si="58"/>
        <v>0</v>
      </c>
      <c r="AS21" s="169">
        <f t="shared" si="58"/>
        <v>0</v>
      </c>
      <c r="AT21" s="169">
        <f t="shared" si="58"/>
        <v>0</v>
      </c>
      <c r="AU21" s="169">
        <f t="shared" si="58"/>
        <v>0</v>
      </c>
      <c r="AV21" s="223">
        <f>SUM(AJ21:AU21)</f>
        <v>0</v>
      </c>
      <c r="AX21" s="169">
        <f t="shared" ref="AX21:BI21" si="59">+$C21/12*$AW10</f>
        <v>0</v>
      </c>
      <c r="AY21" s="169">
        <f t="shared" si="59"/>
        <v>0</v>
      </c>
      <c r="AZ21" s="169">
        <f t="shared" si="59"/>
        <v>0</v>
      </c>
      <c r="BA21" s="169">
        <f t="shared" si="59"/>
        <v>0</v>
      </c>
      <c r="BB21" s="169">
        <f t="shared" si="59"/>
        <v>0</v>
      </c>
      <c r="BC21" s="169">
        <f t="shared" si="59"/>
        <v>0</v>
      </c>
      <c r="BD21" s="169">
        <f t="shared" si="59"/>
        <v>0</v>
      </c>
      <c r="BE21" s="169">
        <f t="shared" si="59"/>
        <v>0</v>
      </c>
      <c r="BF21" s="169">
        <f t="shared" si="59"/>
        <v>0</v>
      </c>
      <c r="BG21" s="169">
        <f t="shared" si="59"/>
        <v>0</v>
      </c>
      <c r="BH21" s="169">
        <f t="shared" si="59"/>
        <v>0</v>
      </c>
      <c r="BI21" s="169">
        <f t="shared" si="59"/>
        <v>0</v>
      </c>
      <c r="BJ21" s="444">
        <f>SUM(AX21:BI21)</f>
        <v>0</v>
      </c>
      <c r="BL21" s="169">
        <f t="shared" ref="BL21:BW21" si="60">+$C21/12*$BK10</f>
        <v>0</v>
      </c>
      <c r="BM21" s="169">
        <f t="shared" si="60"/>
        <v>0</v>
      </c>
      <c r="BN21" s="169">
        <f t="shared" si="60"/>
        <v>0</v>
      </c>
      <c r="BO21" s="169">
        <f t="shared" si="60"/>
        <v>0</v>
      </c>
      <c r="BP21" s="169">
        <f t="shared" si="60"/>
        <v>0</v>
      </c>
      <c r="BQ21" s="169">
        <f t="shared" si="60"/>
        <v>0</v>
      </c>
      <c r="BR21" s="169">
        <f t="shared" si="60"/>
        <v>0</v>
      </c>
      <c r="BS21" s="169">
        <f t="shared" si="60"/>
        <v>0</v>
      </c>
      <c r="BT21" s="169">
        <f t="shared" si="60"/>
        <v>0</v>
      </c>
      <c r="BU21" s="169">
        <f t="shared" si="60"/>
        <v>0</v>
      </c>
      <c r="BV21" s="169">
        <f t="shared" si="60"/>
        <v>0</v>
      </c>
      <c r="BW21" s="169">
        <f t="shared" si="60"/>
        <v>0</v>
      </c>
      <c r="BX21" s="445">
        <f>SUM(BL21:BW21)</f>
        <v>0</v>
      </c>
      <c r="BZ21" s="169">
        <f t="shared" ref="BZ21:CK21" si="61">+$C21/12*$BK10</f>
        <v>0</v>
      </c>
      <c r="CA21" s="169">
        <f t="shared" si="61"/>
        <v>0</v>
      </c>
      <c r="CB21" s="169">
        <f t="shared" si="61"/>
        <v>0</v>
      </c>
      <c r="CC21" s="169">
        <f t="shared" si="61"/>
        <v>0</v>
      </c>
      <c r="CD21" s="169">
        <f t="shared" si="61"/>
        <v>0</v>
      </c>
      <c r="CE21" s="169">
        <f t="shared" si="61"/>
        <v>0</v>
      </c>
      <c r="CF21" s="169">
        <f t="shared" si="61"/>
        <v>0</v>
      </c>
      <c r="CG21" s="169">
        <f t="shared" si="61"/>
        <v>0</v>
      </c>
      <c r="CH21" s="169">
        <f t="shared" si="61"/>
        <v>0</v>
      </c>
      <c r="CI21" s="169">
        <f t="shared" si="61"/>
        <v>0</v>
      </c>
      <c r="CJ21" s="169">
        <f t="shared" si="61"/>
        <v>0</v>
      </c>
      <c r="CK21" s="169">
        <f t="shared" si="61"/>
        <v>0</v>
      </c>
      <c r="CL21" s="445">
        <f>SUM(BZ21:CK21)</f>
        <v>0</v>
      </c>
      <c r="CN21" s="169">
        <f t="shared" ref="CN21:CY21" si="62">+$C21/12*$BK10</f>
        <v>0</v>
      </c>
      <c r="CO21" s="169">
        <f t="shared" si="62"/>
        <v>0</v>
      </c>
      <c r="CP21" s="169">
        <f t="shared" si="62"/>
        <v>0</v>
      </c>
      <c r="CQ21" s="169">
        <f t="shared" si="62"/>
        <v>0</v>
      </c>
      <c r="CR21" s="169">
        <f t="shared" si="62"/>
        <v>0</v>
      </c>
      <c r="CS21" s="169">
        <f t="shared" si="62"/>
        <v>0</v>
      </c>
      <c r="CT21" s="169">
        <f t="shared" si="62"/>
        <v>0</v>
      </c>
      <c r="CU21" s="169">
        <f t="shared" si="62"/>
        <v>0</v>
      </c>
      <c r="CV21" s="169">
        <f t="shared" si="62"/>
        <v>0</v>
      </c>
      <c r="CW21" s="169">
        <f t="shared" si="62"/>
        <v>0</v>
      </c>
      <c r="CX21" s="169">
        <f t="shared" si="62"/>
        <v>0</v>
      </c>
      <c r="CY21" s="169">
        <f t="shared" si="62"/>
        <v>0</v>
      </c>
      <c r="CZ21" s="445">
        <f>SUM(CN21:CY21)</f>
        <v>0</v>
      </c>
    </row>
    <row r="22" spans="1:104 16374:16384" ht="14.5" x14ac:dyDescent="0.4">
      <c r="A22" s="73">
        <v>7300</v>
      </c>
      <c r="B22" s="428" t="s">
        <v>307</v>
      </c>
      <c r="C22" s="231"/>
      <c r="D22" s="231"/>
      <c r="E22" s="429"/>
      <c r="F22" s="169"/>
      <c r="G22" s="456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229"/>
      <c r="T22" s="443">
        <f t="shared" si="31"/>
        <v>0</v>
      </c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221">
        <f t="shared" si="33"/>
        <v>0</v>
      </c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223"/>
      <c r="AX22" s="169"/>
      <c r="AY22" s="169"/>
      <c r="AZ22" s="169"/>
      <c r="BA22" s="169"/>
      <c r="BB22" s="169"/>
      <c r="BC22" s="169"/>
      <c r="BD22" s="169"/>
      <c r="BE22" s="169"/>
      <c r="BF22" s="169"/>
      <c r="BG22" s="169"/>
      <c r="BH22" s="169"/>
      <c r="BI22" s="169"/>
      <c r="BJ22" s="444"/>
      <c r="BL22" s="169"/>
      <c r="BM22" s="169"/>
      <c r="BN22" s="169"/>
      <c r="BO22" s="169"/>
      <c r="BP22" s="169"/>
      <c r="BQ22" s="169"/>
      <c r="BR22" s="169"/>
      <c r="BS22" s="169"/>
      <c r="BT22" s="169"/>
      <c r="BU22" s="169"/>
      <c r="BV22" s="169"/>
      <c r="BW22" s="169"/>
      <c r="BX22" s="445"/>
      <c r="BZ22" s="169"/>
      <c r="CA22" s="169"/>
      <c r="CB22" s="169"/>
      <c r="CC22" s="169"/>
      <c r="CD22" s="169"/>
      <c r="CE22" s="169"/>
      <c r="CF22" s="169"/>
      <c r="CG22" s="169"/>
      <c r="CH22" s="169"/>
      <c r="CI22" s="169"/>
      <c r="CJ22" s="169"/>
      <c r="CK22" s="169"/>
      <c r="CL22" s="445"/>
      <c r="CN22" s="169"/>
      <c r="CO22" s="169"/>
      <c r="CP22" s="169"/>
      <c r="CQ22" s="169"/>
      <c r="CR22" s="169"/>
      <c r="CS22" s="169"/>
      <c r="CT22" s="169"/>
      <c r="CU22" s="169"/>
      <c r="CV22" s="169"/>
      <c r="CW22" s="169"/>
      <c r="CX22" s="169"/>
      <c r="CY22" s="169"/>
      <c r="CZ22" s="445"/>
    </row>
    <row r="23" spans="1:104 16374:16384" s="251" customFormat="1" ht="14.5" x14ac:dyDescent="0.4">
      <c r="A23" s="73" t="s">
        <v>537</v>
      </c>
      <c r="B23" s="428" t="s">
        <v>538</v>
      </c>
      <c r="C23" s="231">
        <v>850</v>
      </c>
      <c r="D23" s="275">
        <f>C23/12</f>
        <v>70.833333333333329</v>
      </c>
      <c r="E23" s="453"/>
      <c r="F23" s="169"/>
      <c r="G23" s="456">
        <f t="shared" ref="G23:G29" si="63">F23</f>
        <v>0</v>
      </c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229"/>
      <c r="T23" s="443">
        <f t="shared" si="31"/>
        <v>0</v>
      </c>
      <c r="U23" s="31"/>
      <c r="V23" s="169">
        <f t="shared" ref="V23:AG23" si="64">$D23*$U13</f>
        <v>0</v>
      </c>
      <c r="W23" s="169">
        <f t="shared" si="64"/>
        <v>0</v>
      </c>
      <c r="X23" s="169">
        <f t="shared" si="64"/>
        <v>0</v>
      </c>
      <c r="Y23" s="169">
        <f t="shared" si="64"/>
        <v>0</v>
      </c>
      <c r="Z23" s="169">
        <f t="shared" si="64"/>
        <v>0</v>
      </c>
      <c r="AA23" s="169">
        <f t="shared" si="64"/>
        <v>0</v>
      </c>
      <c r="AB23" s="169">
        <f t="shared" si="64"/>
        <v>0</v>
      </c>
      <c r="AC23" s="169">
        <f t="shared" si="64"/>
        <v>0</v>
      </c>
      <c r="AD23" s="169">
        <f t="shared" si="64"/>
        <v>0</v>
      </c>
      <c r="AE23" s="169">
        <f t="shared" si="64"/>
        <v>0</v>
      </c>
      <c r="AF23" s="169">
        <f t="shared" si="64"/>
        <v>0</v>
      </c>
      <c r="AG23" s="169">
        <f t="shared" si="64"/>
        <v>0</v>
      </c>
      <c r="AH23" s="221">
        <f t="shared" si="33"/>
        <v>0</v>
      </c>
      <c r="AI23" s="31"/>
      <c r="AJ23" s="169">
        <f t="shared" ref="AJ23:AU23" si="65">+$C23/12*$AI13</f>
        <v>0</v>
      </c>
      <c r="AK23" s="169">
        <f t="shared" si="65"/>
        <v>0</v>
      </c>
      <c r="AL23" s="169">
        <f t="shared" si="65"/>
        <v>0</v>
      </c>
      <c r="AM23" s="169">
        <f t="shared" si="65"/>
        <v>0</v>
      </c>
      <c r="AN23" s="169">
        <f t="shared" si="65"/>
        <v>0</v>
      </c>
      <c r="AO23" s="169">
        <f t="shared" si="65"/>
        <v>0</v>
      </c>
      <c r="AP23" s="169">
        <f t="shared" si="65"/>
        <v>0</v>
      </c>
      <c r="AQ23" s="169">
        <f t="shared" si="65"/>
        <v>0</v>
      </c>
      <c r="AR23" s="169">
        <f t="shared" si="65"/>
        <v>0</v>
      </c>
      <c r="AS23" s="169">
        <f t="shared" si="65"/>
        <v>0</v>
      </c>
      <c r="AT23" s="169">
        <f t="shared" si="65"/>
        <v>0</v>
      </c>
      <c r="AU23" s="169">
        <f t="shared" si="65"/>
        <v>0</v>
      </c>
      <c r="AV23" s="223">
        <f t="shared" ref="AV23:AV33" si="66">SUM(AJ23:AU23)</f>
        <v>0</v>
      </c>
      <c r="AW23" s="31"/>
      <c r="AX23" s="169">
        <f t="shared" ref="AX23:BI23" si="67">+$C23/12*$AW13</f>
        <v>0</v>
      </c>
      <c r="AY23" s="169">
        <f t="shared" si="67"/>
        <v>0</v>
      </c>
      <c r="AZ23" s="169">
        <f t="shared" si="67"/>
        <v>0</v>
      </c>
      <c r="BA23" s="169">
        <f t="shared" si="67"/>
        <v>0</v>
      </c>
      <c r="BB23" s="169">
        <f t="shared" si="67"/>
        <v>0</v>
      </c>
      <c r="BC23" s="169">
        <f t="shared" si="67"/>
        <v>0</v>
      </c>
      <c r="BD23" s="169">
        <f t="shared" si="67"/>
        <v>0</v>
      </c>
      <c r="BE23" s="169">
        <f t="shared" si="67"/>
        <v>0</v>
      </c>
      <c r="BF23" s="169">
        <f t="shared" si="67"/>
        <v>0</v>
      </c>
      <c r="BG23" s="169">
        <f t="shared" si="67"/>
        <v>0</v>
      </c>
      <c r="BH23" s="169">
        <f t="shared" si="67"/>
        <v>0</v>
      </c>
      <c r="BI23" s="169">
        <f t="shared" si="67"/>
        <v>0</v>
      </c>
      <c r="BJ23" s="444">
        <f t="shared" ref="BJ23:BJ33" si="68">SUM(AX23:BI23)</f>
        <v>0</v>
      </c>
      <c r="BK23" s="31"/>
      <c r="BL23" s="169">
        <f t="shared" ref="BL23:BW23" si="69">+$C23/12*$BK13</f>
        <v>0</v>
      </c>
      <c r="BM23" s="169">
        <f t="shared" si="69"/>
        <v>0</v>
      </c>
      <c r="BN23" s="169">
        <f t="shared" si="69"/>
        <v>0</v>
      </c>
      <c r="BO23" s="169">
        <f t="shared" si="69"/>
        <v>0</v>
      </c>
      <c r="BP23" s="169">
        <f t="shared" si="69"/>
        <v>0</v>
      </c>
      <c r="BQ23" s="169">
        <f t="shared" si="69"/>
        <v>0</v>
      </c>
      <c r="BR23" s="169">
        <f t="shared" si="69"/>
        <v>0</v>
      </c>
      <c r="BS23" s="169">
        <f t="shared" si="69"/>
        <v>0</v>
      </c>
      <c r="BT23" s="169">
        <f t="shared" si="69"/>
        <v>0</v>
      </c>
      <c r="BU23" s="169">
        <f t="shared" si="69"/>
        <v>0</v>
      </c>
      <c r="BV23" s="169">
        <f t="shared" si="69"/>
        <v>0</v>
      </c>
      <c r="BW23" s="169">
        <f t="shared" si="69"/>
        <v>0</v>
      </c>
      <c r="BX23" s="445">
        <f t="shared" ref="BX23:BX33" si="70">SUM(BL23:BW23)</f>
        <v>0</v>
      </c>
      <c r="BY23" s="31"/>
      <c r="BZ23" s="169">
        <f t="shared" ref="BZ23:CK23" si="71">+$C23/12*$BK13</f>
        <v>0</v>
      </c>
      <c r="CA23" s="169">
        <f t="shared" si="71"/>
        <v>0</v>
      </c>
      <c r="CB23" s="169">
        <f t="shared" si="71"/>
        <v>0</v>
      </c>
      <c r="CC23" s="169">
        <f t="shared" si="71"/>
        <v>0</v>
      </c>
      <c r="CD23" s="169">
        <f t="shared" si="71"/>
        <v>0</v>
      </c>
      <c r="CE23" s="169">
        <f t="shared" si="71"/>
        <v>0</v>
      </c>
      <c r="CF23" s="169">
        <f t="shared" si="71"/>
        <v>0</v>
      </c>
      <c r="CG23" s="169">
        <f t="shared" si="71"/>
        <v>0</v>
      </c>
      <c r="CH23" s="169">
        <f t="shared" si="71"/>
        <v>0</v>
      </c>
      <c r="CI23" s="169">
        <f t="shared" si="71"/>
        <v>0</v>
      </c>
      <c r="CJ23" s="169">
        <f t="shared" si="71"/>
        <v>0</v>
      </c>
      <c r="CK23" s="169">
        <f t="shared" si="71"/>
        <v>0</v>
      </c>
      <c r="CL23" s="445">
        <f t="shared" ref="CL23" si="72">SUM(BZ23:CK23)</f>
        <v>0</v>
      </c>
      <c r="CM23" s="31"/>
      <c r="CN23" s="169">
        <f t="shared" ref="CN23:CY23" si="73">+$C23/12*$BK13</f>
        <v>0</v>
      </c>
      <c r="CO23" s="169">
        <f t="shared" si="73"/>
        <v>0</v>
      </c>
      <c r="CP23" s="169">
        <f t="shared" si="73"/>
        <v>0</v>
      </c>
      <c r="CQ23" s="169">
        <f t="shared" si="73"/>
        <v>0</v>
      </c>
      <c r="CR23" s="169">
        <f t="shared" si="73"/>
        <v>0</v>
      </c>
      <c r="CS23" s="169">
        <f t="shared" si="73"/>
        <v>0</v>
      </c>
      <c r="CT23" s="169">
        <f t="shared" si="73"/>
        <v>0</v>
      </c>
      <c r="CU23" s="169">
        <f t="shared" si="73"/>
        <v>0</v>
      </c>
      <c r="CV23" s="169">
        <f t="shared" si="73"/>
        <v>0</v>
      </c>
      <c r="CW23" s="169">
        <f t="shared" si="73"/>
        <v>0</v>
      </c>
      <c r="CX23" s="169">
        <f t="shared" si="73"/>
        <v>0</v>
      </c>
      <c r="CY23" s="169">
        <f t="shared" si="73"/>
        <v>0</v>
      </c>
      <c r="CZ23" s="445">
        <f t="shared" ref="CZ23:CZ33" si="74">SUM(CN23:CY23)</f>
        <v>0</v>
      </c>
      <c r="XET23" s="30"/>
      <c r="XEU23" s="30"/>
      <c r="XEV23" s="30"/>
      <c r="XEW23" s="30"/>
      <c r="XEX23" s="30"/>
      <c r="XEY23" s="30"/>
      <c r="XEZ23" s="30"/>
      <c r="XFA23" s="30"/>
      <c r="XFB23" s="30"/>
      <c r="XFC23" s="30"/>
      <c r="XFD23" s="30"/>
    </row>
    <row r="24" spans="1:104 16374:16384" ht="14.5" x14ac:dyDescent="0.4">
      <c r="A24" s="73" t="s">
        <v>539</v>
      </c>
      <c r="B24" s="428" t="s">
        <v>540</v>
      </c>
      <c r="C24" s="231">
        <f>Wartungskosten!B12</f>
        <v>11739</v>
      </c>
      <c r="D24" s="275">
        <f>C24/12</f>
        <v>978.25</v>
      </c>
      <c r="E24" s="453"/>
      <c r="F24" s="169"/>
      <c r="G24" s="456">
        <f t="shared" si="63"/>
        <v>0</v>
      </c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229"/>
      <c r="T24" s="443">
        <f t="shared" si="31"/>
        <v>0</v>
      </c>
      <c r="V24" s="169"/>
      <c r="W24" s="169"/>
      <c r="X24" s="169"/>
      <c r="Y24" s="169"/>
      <c r="Z24" s="169"/>
      <c r="AA24" s="169"/>
      <c r="AB24" s="460">
        <f t="shared" ref="AB24:AG24" si="75">+$C24/12*$U15</f>
        <v>1017.38</v>
      </c>
      <c r="AC24" s="460">
        <f t="shared" si="75"/>
        <v>1017.38</v>
      </c>
      <c r="AD24" s="460">
        <f t="shared" si="75"/>
        <v>1017.38</v>
      </c>
      <c r="AE24" s="460">
        <f t="shared" si="75"/>
        <v>1017.38</v>
      </c>
      <c r="AF24" s="460">
        <f t="shared" si="75"/>
        <v>1017.38</v>
      </c>
      <c r="AG24" s="460">
        <f t="shared" si="75"/>
        <v>1017.38</v>
      </c>
      <c r="AH24" s="221">
        <f t="shared" si="33"/>
        <v>6104.28</v>
      </c>
      <c r="AJ24" s="169">
        <f t="shared" ref="AJ24:AU24" si="76">+$D24</f>
        <v>978.25</v>
      </c>
      <c r="AK24" s="169">
        <f t="shared" si="76"/>
        <v>978.25</v>
      </c>
      <c r="AL24" s="169">
        <f t="shared" si="76"/>
        <v>978.25</v>
      </c>
      <c r="AM24" s="169">
        <f t="shared" si="76"/>
        <v>978.25</v>
      </c>
      <c r="AN24" s="169">
        <f t="shared" si="76"/>
        <v>978.25</v>
      </c>
      <c r="AO24" s="169">
        <f t="shared" si="76"/>
        <v>978.25</v>
      </c>
      <c r="AP24" s="169">
        <f t="shared" si="76"/>
        <v>978.25</v>
      </c>
      <c r="AQ24" s="169">
        <f t="shared" si="76"/>
        <v>978.25</v>
      </c>
      <c r="AR24" s="169">
        <f t="shared" si="76"/>
        <v>978.25</v>
      </c>
      <c r="AS24" s="169">
        <f t="shared" si="76"/>
        <v>978.25</v>
      </c>
      <c r="AT24" s="169">
        <f t="shared" si="76"/>
        <v>978.25</v>
      </c>
      <c r="AU24" s="169">
        <f t="shared" si="76"/>
        <v>978.25</v>
      </c>
      <c r="AV24" s="223">
        <f t="shared" si="66"/>
        <v>11739</v>
      </c>
      <c r="AX24" s="169">
        <f t="shared" ref="AX24:BI24" si="77">$D24*$AW15</f>
        <v>1079.0097499999999</v>
      </c>
      <c r="AY24" s="169">
        <f t="shared" si="77"/>
        <v>1079.0097499999999</v>
      </c>
      <c r="AZ24" s="169">
        <f t="shared" si="77"/>
        <v>1079.0097499999999</v>
      </c>
      <c r="BA24" s="169">
        <f t="shared" si="77"/>
        <v>1079.0097499999999</v>
      </c>
      <c r="BB24" s="169">
        <f t="shared" si="77"/>
        <v>1079.0097499999999</v>
      </c>
      <c r="BC24" s="169">
        <f t="shared" si="77"/>
        <v>1079.0097499999999</v>
      </c>
      <c r="BD24" s="169">
        <f t="shared" si="77"/>
        <v>1079.0097499999999</v>
      </c>
      <c r="BE24" s="169">
        <f t="shared" si="77"/>
        <v>1079.0097499999999</v>
      </c>
      <c r="BF24" s="169">
        <f t="shared" si="77"/>
        <v>1079.0097499999999</v>
      </c>
      <c r="BG24" s="169">
        <f t="shared" si="77"/>
        <v>1079.0097499999999</v>
      </c>
      <c r="BH24" s="169">
        <f t="shared" si="77"/>
        <v>1079.0097499999999</v>
      </c>
      <c r="BI24" s="169">
        <f t="shared" si="77"/>
        <v>1079.0097499999999</v>
      </c>
      <c r="BJ24" s="444">
        <f t="shared" si="68"/>
        <v>12948.116999999997</v>
      </c>
      <c r="BL24" s="169">
        <f t="shared" ref="BL24:BW24" si="78">+$C24/12*$BK15</f>
        <v>1106.40075</v>
      </c>
      <c r="BM24" s="169">
        <f t="shared" si="78"/>
        <v>1106.40075</v>
      </c>
      <c r="BN24" s="169">
        <f t="shared" si="78"/>
        <v>1106.40075</v>
      </c>
      <c r="BO24" s="169">
        <f t="shared" si="78"/>
        <v>1106.40075</v>
      </c>
      <c r="BP24" s="169">
        <f t="shared" si="78"/>
        <v>1106.40075</v>
      </c>
      <c r="BQ24" s="169">
        <f t="shared" si="78"/>
        <v>1106.40075</v>
      </c>
      <c r="BR24" s="169">
        <f t="shared" si="78"/>
        <v>1106.40075</v>
      </c>
      <c r="BS24" s="169">
        <f t="shared" si="78"/>
        <v>1106.40075</v>
      </c>
      <c r="BT24" s="169">
        <f t="shared" si="78"/>
        <v>1106.40075</v>
      </c>
      <c r="BU24" s="169">
        <f t="shared" si="78"/>
        <v>1106.40075</v>
      </c>
      <c r="BV24" s="169">
        <f t="shared" si="78"/>
        <v>1106.40075</v>
      </c>
      <c r="BW24" s="169">
        <f t="shared" si="78"/>
        <v>1106.40075</v>
      </c>
      <c r="BX24" s="445">
        <f t="shared" si="70"/>
        <v>13276.809000000003</v>
      </c>
      <c r="BZ24" s="169">
        <f>$BW24*(1+$BY$2)</f>
        <v>1137.3799710000001</v>
      </c>
      <c r="CA24" s="169">
        <f t="shared" ref="CA24:CK24" si="79">$BW24*(1+$BY$2)</f>
        <v>1137.3799710000001</v>
      </c>
      <c r="CB24" s="169">
        <f t="shared" si="79"/>
        <v>1137.3799710000001</v>
      </c>
      <c r="CC24" s="169">
        <f t="shared" si="79"/>
        <v>1137.3799710000001</v>
      </c>
      <c r="CD24" s="169">
        <f t="shared" si="79"/>
        <v>1137.3799710000001</v>
      </c>
      <c r="CE24" s="169">
        <f t="shared" si="79"/>
        <v>1137.3799710000001</v>
      </c>
      <c r="CF24" s="169">
        <f t="shared" si="79"/>
        <v>1137.3799710000001</v>
      </c>
      <c r="CG24" s="169">
        <f t="shared" si="79"/>
        <v>1137.3799710000001</v>
      </c>
      <c r="CH24" s="169">
        <f t="shared" si="79"/>
        <v>1137.3799710000001</v>
      </c>
      <c r="CI24" s="169">
        <f t="shared" si="79"/>
        <v>1137.3799710000001</v>
      </c>
      <c r="CJ24" s="169">
        <f t="shared" si="79"/>
        <v>1137.3799710000001</v>
      </c>
      <c r="CK24" s="169">
        <f t="shared" si="79"/>
        <v>1137.3799710000001</v>
      </c>
      <c r="CL24" s="445">
        <f>SUM(BZ24:CK24)</f>
        <v>13648.559652000002</v>
      </c>
      <c r="CN24" s="169">
        <f>$CK24*(1+$CM$2)</f>
        <v>1169.226610188</v>
      </c>
      <c r="CO24" s="169">
        <f t="shared" ref="CO24:CY24" si="80">$CK24*(1+$CM$2)</f>
        <v>1169.226610188</v>
      </c>
      <c r="CP24" s="169">
        <f t="shared" si="80"/>
        <v>1169.226610188</v>
      </c>
      <c r="CQ24" s="169">
        <f t="shared" si="80"/>
        <v>1169.226610188</v>
      </c>
      <c r="CR24" s="169">
        <f t="shared" si="80"/>
        <v>1169.226610188</v>
      </c>
      <c r="CS24" s="169">
        <f t="shared" si="80"/>
        <v>1169.226610188</v>
      </c>
      <c r="CT24" s="169">
        <f t="shared" si="80"/>
        <v>1169.226610188</v>
      </c>
      <c r="CU24" s="169">
        <f t="shared" si="80"/>
        <v>1169.226610188</v>
      </c>
      <c r="CV24" s="169">
        <f t="shared" si="80"/>
        <v>1169.226610188</v>
      </c>
      <c r="CW24" s="169">
        <f t="shared" si="80"/>
        <v>1169.226610188</v>
      </c>
      <c r="CX24" s="169">
        <f t="shared" si="80"/>
        <v>1169.226610188</v>
      </c>
      <c r="CY24" s="169">
        <f t="shared" si="80"/>
        <v>1169.226610188</v>
      </c>
      <c r="CZ24" s="445">
        <f t="shared" si="74"/>
        <v>14030.719322255996</v>
      </c>
    </row>
    <row r="25" spans="1:104 16374:16384" s="251" customFormat="1" ht="14.5" x14ac:dyDescent="0.4">
      <c r="A25" s="73" t="s">
        <v>541</v>
      </c>
      <c r="B25" s="428" t="s">
        <v>542</v>
      </c>
      <c r="C25" s="461">
        <v>3.5</v>
      </c>
      <c r="D25" s="275">
        <f>C25*735</f>
        <v>2572.5</v>
      </c>
      <c r="E25" s="194"/>
      <c r="F25" s="459"/>
      <c r="G25" s="456">
        <f t="shared" si="63"/>
        <v>0</v>
      </c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229"/>
      <c r="T25" s="443">
        <f t="shared" si="31"/>
        <v>0</v>
      </c>
      <c r="U25" s="31"/>
      <c r="V25" s="169"/>
      <c r="W25" s="169"/>
      <c r="X25" s="169">
        <f t="shared" ref="X25:AG25" si="81">$D25*$U15</f>
        <v>2675.4</v>
      </c>
      <c r="Y25" s="169">
        <f t="shared" si="81"/>
        <v>2675.4</v>
      </c>
      <c r="Z25" s="169">
        <f t="shared" si="81"/>
        <v>2675.4</v>
      </c>
      <c r="AA25" s="169">
        <f t="shared" si="81"/>
        <v>2675.4</v>
      </c>
      <c r="AB25" s="460">
        <f t="shared" si="81"/>
        <v>2675.4</v>
      </c>
      <c r="AC25" s="460">
        <f t="shared" si="81"/>
        <v>2675.4</v>
      </c>
      <c r="AD25" s="460">
        <f t="shared" si="81"/>
        <v>2675.4</v>
      </c>
      <c r="AE25" s="460">
        <f t="shared" si="81"/>
        <v>2675.4</v>
      </c>
      <c r="AF25" s="460">
        <f t="shared" si="81"/>
        <v>2675.4</v>
      </c>
      <c r="AG25" s="460">
        <f t="shared" si="81"/>
        <v>2675.4</v>
      </c>
      <c r="AH25" s="221">
        <f t="shared" si="33"/>
        <v>26754.000000000004</v>
      </c>
      <c r="AI25" s="31"/>
      <c r="AJ25" s="169">
        <f t="shared" ref="AJ25:AU25" si="82">+$D25*$AI15</f>
        <v>2760.2925</v>
      </c>
      <c r="AK25" s="169">
        <f t="shared" si="82"/>
        <v>2760.2925</v>
      </c>
      <c r="AL25" s="169">
        <f t="shared" si="82"/>
        <v>2760.2925</v>
      </c>
      <c r="AM25" s="169">
        <f t="shared" si="82"/>
        <v>2760.2925</v>
      </c>
      <c r="AN25" s="169">
        <f t="shared" si="82"/>
        <v>2760.2925</v>
      </c>
      <c r="AO25" s="169">
        <f t="shared" si="82"/>
        <v>2760.2925</v>
      </c>
      <c r="AP25" s="169">
        <f t="shared" si="82"/>
        <v>2760.2925</v>
      </c>
      <c r="AQ25" s="169">
        <f t="shared" si="82"/>
        <v>2760.2925</v>
      </c>
      <c r="AR25" s="169">
        <f t="shared" si="82"/>
        <v>2760.2925</v>
      </c>
      <c r="AS25" s="169">
        <f t="shared" si="82"/>
        <v>2760.2925</v>
      </c>
      <c r="AT25" s="169">
        <f t="shared" si="82"/>
        <v>2760.2925</v>
      </c>
      <c r="AU25" s="169">
        <f t="shared" si="82"/>
        <v>2760.2925</v>
      </c>
      <c r="AV25" s="223">
        <f t="shared" si="66"/>
        <v>33123.51</v>
      </c>
      <c r="AW25" s="31"/>
      <c r="AX25" s="169">
        <f t="shared" ref="AX25:BI25" si="83">+$D25*$AW15</f>
        <v>2837.4674999999997</v>
      </c>
      <c r="AY25" s="169">
        <f t="shared" si="83"/>
        <v>2837.4674999999997</v>
      </c>
      <c r="AZ25" s="169">
        <f t="shared" si="83"/>
        <v>2837.4674999999997</v>
      </c>
      <c r="BA25" s="169">
        <f t="shared" si="83"/>
        <v>2837.4674999999997</v>
      </c>
      <c r="BB25" s="169">
        <f t="shared" si="83"/>
        <v>2837.4674999999997</v>
      </c>
      <c r="BC25" s="169">
        <f t="shared" si="83"/>
        <v>2837.4674999999997</v>
      </c>
      <c r="BD25" s="169">
        <f t="shared" si="83"/>
        <v>2837.4674999999997</v>
      </c>
      <c r="BE25" s="169">
        <f t="shared" si="83"/>
        <v>2837.4674999999997</v>
      </c>
      <c r="BF25" s="169">
        <f t="shared" si="83"/>
        <v>2837.4674999999997</v>
      </c>
      <c r="BG25" s="169">
        <f t="shared" si="83"/>
        <v>2837.4674999999997</v>
      </c>
      <c r="BH25" s="169">
        <f t="shared" si="83"/>
        <v>2837.4674999999997</v>
      </c>
      <c r="BI25" s="169">
        <f t="shared" si="83"/>
        <v>2837.4674999999997</v>
      </c>
      <c r="BJ25" s="444">
        <f t="shared" si="68"/>
        <v>34049.609999999993</v>
      </c>
      <c r="BK25" s="31"/>
      <c r="BL25" s="169">
        <f t="shared" ref="BL25:BW25" si="84">+$D25*$BK15</f>
        <v>2909.4974999999999</v>
      </c>
      <c r="BM25" s="169">
        <f t="shared" si="84"/>
        <v>2909.4974999999999</v>
      </c>
      <c r="BN25" s="169">
        <f t="shared" si="84"/>
        <v>2909.4974999999999</v>
      </c>
      <c r="BO25" s="169">
        <f t="shared" si="84"/>
        <v>2909.4974999999999</v>
      </c>
      <c r="BP25" s="169">
        <f t="shared" si="84"/>
        <v>2909.4974999999999</v>
      </c>
      <c r="BQ25" s="169">
        <f t="shared" si="84"/>
        <v>2909.4974999999999</v>
      </c>
      <c r="BR25" s="169">
        <f t="shared" si="84"/>
        <v>2909.4974999999999</v>
      </c>
      <c r="BS25" s="169">
        <f t="shared" si="84"/>
        <v>2909.4974999999999</v>
      </c>
      <c r="BT25" s="169">
        <f t="shared" si="84"/>
        <v>2909.4974999999999</v>
      </c>
      <c r="BU25" s="169">
        <f t="shared" si="84"/>
        <v>2909.4974999999999</v>
      </c>
      <c r="BV25" s="169">
        <f t="shared" si="84"/>
        <v>2909.4974999999999</v>
      </c>
      <c r="BW25" s="169">
        <f t="shared" si="84"/>
        <v>2909.4974999999999</v>
      </c>
      <c r="BX25" s="445">
        <f t="shared" si="70"/>
        <v>34913.970000000008</v>
      </c>
      <c r="BZ25" s="169">
        <f t="shared" ref="BZ25:CK32" si="85">$BW25*(1+$BY$2)</f>
        <v>2990.9634299999998</v>
      </c>
      <c r="CA25" s="169">
        <f t="shared" si="85"/>
        <v>2990.9634299999998</v>
      </c>
      <c r="CB25" s="169">
        <f t="shared" si="85"/>
        <v>2990.9634299999998</v>
      </c>
      <c r="CC25" s="169">
        <f t="shared" si="85"/>
        <v>2990.9634299999998</v>
      </c>
      <c r="CD25" s="169">
        <f t="shared" si="85"/>
        <v>2990.9634299999998</v>
      </c>
      <c r="CE25" s="169">
        <f t="shared" si="85"/>
        <v>2990.9634299999998</v>
      </c>
      <c r="CF25" s="169">
        <f t="shared" si="85"/>
        <v>2990.9634299999998</v>
      </c>
      <c r="CG25" s="169">
        <f t="shared" si="85"/>
        <v>2990.9634299999998</v>
      </c>
      <c r="CH25" s="169">
        <f t="shared" si="85"/>
        <v>2990.9634299999998</v>
      </c>
      <c r="CI25" s="169">
        <f t="shared" si="85"/>
        <v>2990.9634299999998</v>
      </c>
      <c r="CJ25" s="169">
        <f t="shared" si="85"/>
        <v>2990.9634299999998</v>
      </c>
      <c r="CK25" s="169">
        <f t="shared" si="85"/>
        <v>2990.9634299999998</v>
      </c>
      <c r="CL25" s="445">
        <f t="shared" ref="CL25:CL33" si="86">SUM(BZ25:CK25)</f>
        <v>35891.561159999997</v>
      </c>
      <c r="CM25" s="31"/>
      <c r="CN25" s="169">
        <f t="shared" ref="CN25:CY32" si="87">$CK25*(1+$CM$2)</f>
        <v>3074.7104060399997</v>
      </c>
      <c r="CO25" s="169">
        <f t="shared" si="87"/>
        <v>3074.7104060399997</v>
      </c>
      <c r="CP25" s="169">
        <f t="shared" si="87"/>
        <v>3074.7104060399997</v>
      </c>
      <c r="CQ25" s="169">
        <f t="shared" si="87"/>
        <v>3074.7104060399997</v>
      </c>
      <c r="CR25" s="169">
        <f t="shared" si="87"/>
        <v>3074.7104060399997</v>
      </c>
      <c r="CS25" s="169">
        <f t="shared" si="87"/>
        <v>3074.7104060399997</v>
      </c>
      <c r="CT25" s="169">
        <f t="shared" si="87"/>
        <v>3074.7104060399997</v>
      </c>
      <c r="CU25" s="169">
        <f t="shared" si="87"/>
        <v>3074.7104060399997</v>
      </c>
      <c r="CV25" s="169">
        <f t="shared" si="87"/>
        <v>3074.7104060399997</v>
      </c>
      <c r="CW25" s="169">
        <f t="shared" si="87"/>
        <v>3074.7104060399997</v>
      </c>
      <c r="CX25" s="169">
        <f t="shared" si="87"/>
        <v>3074.7104060399997</v>
      </c>
      <c r="CY25" s="169">
        <f t="shared" si="87"/>
        <v>3074.7104060399997</v>
      </c>
      <c r="CZ25" s="445">
        <f t="shared" si="74"/>
        <v>36896.524872480004</v>
      </c>
      <c r="XET25" s="30"/>
      <c r="XEU25" s="30"/>
      <c r="XEV25" s="30"/>
      <c r="XEW25" s="30"/>
      <c r="XEX25" s="30"/>
      <c r="XEY25" s="30"/>
      <c r="XEZ25" s="30"/>
      <c r="XFA25" s="30"/>
      <c r="XFB25" s="30"/>
      <c r="XFC25" s="30"/>
      <c r="XFD25" s="30"/>
    </row>
    <row r="26" spans="1:104 16374:16384" s="251" customFormat="1" ht="14.5" x14ac:dyDescent="0.4">
      <c r="A26" s="73">
        <v>7600</v>
      </c>
      <c r="B26" s="428" t="s">
        <v>543</v>
      </c>
      <c r="C26" s="231">
        <v>5500</v>
      </c>
      <c r="D26" s="275">
        <f>C26/12</f>
        <v>458.33333333333331</v>
      </c>
      <c r="E26" s="429"/>
      <c r="F26" s="169"/>
      <c r="G26" s="456">
        <f t="shared" si="63"/>
        <v>0</v>
      </c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229"/>
      <c r="T26" s="443">
        <f t="shared" si="31"/>
        <v>0</v>
      </c>
      <c r="U26" s="31"/>
      <c r="V26" s="169">
        <f t="shared" ref="V26:AG26" si="88">+$D26*$U15</f>
        <v>476.66666666666669</v>
      </c>
      <c r="W26" s="169">
        <f t="shared" si="88"/>
        <v>476.66666666666669</v>
      </c>
      <c r="X26" s="169">
        <f t="shared" si="88"/>
        <v>476.66666666666669</v>
      </c>
      <c r="Y26" s="169">
        <f t="shared" si="88"/>
        <v>476.66666666666669</v>
      </c>
      <c r="Z26" s="169">
        <f t="shared" si="88"/>
        <v>476.66666666666669</v>
      </c>
      <c r="AA26" s="169">
        <f t="shared" si="88"/>
        <v>476.66666666666669</v>
      </c>
      <c r="AB26" s="460">
        <f t="shared" si="88"/>
        <v>476.66666666666669</v>
      </c>
      <c r="AC26" s="460">
        <f t="shared" si="88"/>
        <v>476.66666666666669</v>
      </c>
      <c r="AD26" s="460">
        <f t="shared" si="88"/>
        <v>476.66666666666669</v>
      </c>
      <c r="AE26" s="460">
        <f t="shared" si="88"/>
        <v>476.66666666666669</v>
      </c>
      <c r="AF26" s="460">
        <f t="shared" si="88"/>
        <v>476.66666666666669</v>
      </c>
      <c r="AG26" s="460">
        <f t="shared" si="88"/>
        <v>476.66666666666669</v>
      </c>
      <c r="AH26" s="221">
        <f t="shared" si="33"/>
        <v>5720.0000000000009</v>
      </c>
      <c r="AI26" s="31"/>
      <c r="AJ26" s="169">
        <f t="shared" ref="AJ26:AU26" si="89">+$C26/12*$AI15</f>
        <v>491.79166666666663</v>
      </c>
      <c r="AK26" s="169">
        <f t="shared" si="89"/>
        <v>491.79166666666663</v>
      </c>
      <c r="AL26" s="169">
        <f t="shared" si="89"/>
        <v>491.79166666666663</v>
      </c>
      <c r="AM26" s="169">
        <f t="shared" si="89"/>
        <v>491.79166666666663</v>
      </c>
      <c r="AN26" s="169">
        <f t="shared" si="89"/>
        <v>491.79166666666663</v>
      </c>
      <c r="AO26" s="169">
        <f t="shared" si="89"/>
        <v>491.79166666666663</v>
      </c>
      <c r="AP26" s="169">
        <f t="shared" si="89"/>
        <v>491.79166666666663</v>
      </c>
      <c r="AQ26" s="169">
        <f t="shared" si="89"/>
        <v>491.79166666666663</v>
      </c>
      <c r="AR26" s="169">
        <f t="shared" si="89"/>
        <v>491.79166666666663</v>
      </c>
      <c r="AS26" s="169">
        <f t="shared" si="89"/>
        <v>491.79166666666663</v>
      </c>
      <c r="AT26" s="169">
        <f t="shared" si="89"/>
        <v>491.79166666666663</v>
      </c>
      <c r="AU26" s="169">
        <f t="shared" si="89"/>
        <v>491.79166666666663</v>
      </c>
      <c r="AV26" s="223">
        <f t="shared" si="66"/>
        <v>5901.5</v>
      </c>
      <c r="AW26" s="31"/>
      <c r="AX26" s="169">
        <f t="shared" ref="AX26:BI26" si="90">+$C26/12*$AW15</f>
        <v>505.54166666666663</v>
      </c>
      <c r="AY26" s="169">
        <f t="shared" si="90"/>
        <v>505.54166666666663</v>
      </c>
      <c r="AZ26" s="169">
        <f t="shared" si="90"/>
        <v>505.54166666666663</v>
      </c>
      <c r="BA26" s="169">
        <f t="shared" si="90"/>
        <v>505.54166666666663</v>
      </c>
      <c r="BB26" s="169">
        <f t="shared" si="90"/>
        <v>505.54166666666663</v>
      </c>
      <c r="BC26" s="169">
        <f t="shared" si="90"/>
        <v>505.54166666666663</v>
      </c>
      <c r="BD26" s="169">
        <f t="shared" si="90"/>
        <v>505.54166666666663</v>
      </c>
      <c r="BE26" s="169">
        <f t="shared" si="90"/>
        <v>505.54166666666663</v>
      </c>
      <c r="BF26" s="169">
        <f t="shared" si="90"/>
        <v>505.54166666666663</v>
      </c>
      <c r="BG26" s="169">
        <f t="shared" si="90"/>
        <v>505.54166666666663</v>
      </c>
      <c r="BH26" s="169">
        <f t="shared" si="90"/>
        <v>505.54166666666663</v>
      </c>
      <c r="BI26" s="169">
        <f t="shared" si="90"/>
        <v>505.54166666666663</v>
      </c>
      <c r="BJ26" s="444">
        <f t="shared" si="68"/>
        <v>6066.5</v>
      </c>
      <c r="BK26" s="31"/>
      <c r="BL26" s="169">
        <f t="shared" ref="BL26:BW26" si="91">+$C26/12*$BK15</f>
        <v>518.375</v>
      </c>
      <c r="BM26" s="169">
        <f t="shared" si="91"/>
        <v>518.375</v>
      </c>
      <c r="BN26" s="169">
        <f t="shared" si="91"/>
        <v>518.375</v>
      </c>
      <c r="BO26" s="169">
        <f t="shared" si="91"/>
        <v>518.375</v>
      </c>
      <c r="BP26" s="169">
        <f t="shared" si="91"/>
        <v>518.375</v>
      </c>
      <c r="BQ26" s="169">
        <f t="shared" si="91"/>
        <v>518.375</v>
      </c>
      <c r="BR26" s="169">
        <f t="shared" si="91"/>
        <v>518.375</v>
      </c>
      <c r="BS26" s="169">
        <f t="shared" si="91"/>
        <v>518.375</v>
      </c>
      <c r="BT26" s="169">
        <f t="shared" si="91"/>
        <v>518.375</v>
      </c>
      <c r="BU26" s="169">
        <f t="shared" si="91"/>
        <v>518.375</v>
      </c>
      <c r="BV26" s="169">
        <f t="shared" si="91"/>
        <v>518.375</v>
      </c>
      <c r="BW26" s="169">
        <f t="shared" si="91"/>
        <v>518.375</v>
      </c>
      <c r="BX26" s="445">
        <f t="shared" si="70"/>
        <v>6220.5</v>
      </c>
      <c r="BZ26" s="169">
        <f t="shared" si="85"/>
        <v>532.8895</v>
      </c>
      <c r="CA26" s="169">
        <f t="shared" si="85"/>
        <v>532.8895</v>
      </c>
      <c r="CB26" s="169">
        <f t="shared" si="85"/>
        <v>532.8895</v>
      </c>
      <c r="CC26" s="169">
        <f t="shared" si="85"/>
        <v>532.8895</v>
      </c>
      <c r="CD26" s="169">
        <f t="shared" si="85"/>
        <v>532.8895</v>
      </c>
      <c r="CE26" s="169">
        <f t="shared" si="85"/>
        <v>532.8895</v>
      </c>
      <c r="CF26" s="169">
        <f t="shared" si="85"/>
        <v>532.8895</v>
      </c>
      <c r="CG26" s="169">
        <f t="shared" si="85"/>
        <v>532.8895</v>
      </c>
      <c r="CH26" s="169">
        <f t="shared" si="85"/>
        <v>532.8895</v>
      </c>
      <c r="CI26" s="169">
        <f t="shared" si="85"/>
        <v>532.8895</v>
      </c>
      <c r="CJ26" s="169">
        <f t="shared" si="85"/>
        <v>532.8895</v>
      </c>
      <c r="CK26" s="169">
        <f t="shared" si="85"/>
        <v>532.8895</v>
      </c>
      <c r="CL26" s="445">
        <f t="shared" si="86"/>
        <v>6394.6740000000018</v>
      </c>
      <c r="CM26" s="31"/>
      <c r="CN26" s="169">
        <f t="shared" si="87"/>
        <v>547.81040600000006</v>
      </c>
      <c r="CO26" s="169">
        <f t="shared" si="87"/>
        <v>547.81040600000006</v>
      </c>
      <c r="CP26" s="169">
        <f t="shared" si="87"/>
        <v>547.81040600000006</v>
      </c>
      <c r="CQ26" s="169">
        <f t="shared" si="87"/>
        <v>547.81040600000006</v>
      </c>
      <c r="CR26" s="169">
        <f t="shared" si="87"/>
        <v>547.81040600000006</v>
      </c>
      <c r="CS26" s="169">
        <f t="shared" si="87"/>
        <v>547.81040600000006</v>
      </c>
      <c r="CT26" s="169">
        <f t="shared" si="87"/>
        <v>547.81040600000006</v>
      </c>
      <c r="CU26" s="169">
        <f t="shared" si="87"/>
        <v>547.81040600000006</v>
      </c>
      <c r="CV26" s="169">
        <f t="shared" si="87"/>
        <v>547.81040600000006</v>
      </c>
      <c r="CW26" s="169">
        <f t="shared" si="87"/>
        <v>547.81040600000006</v>
      </c>
      <c r="CX26" s="169">
        <f t="shared" si="87"/>
        <v>547.81040600000006</v>
      </c>
      <c r="CY26" s="169">
        <f t="shared" si="87"/>
        <v>547.81040600000006</v>
      </c>
      <c r="CZ26" s="445">
        <f t="shared" si="74"/>
        <v>6573.7248720000025</v>
      </c>
      <c r="XET26" s="30"/>
      <c r="XEU26" s="30"/>
      <c r="XEV26" s="30"/>
      <c r="XEW26" s="30"/>
      <c r="XEX26" s="30"/>
      <c r="XEY26" s="30"/>
      <c r="XEZ26" s="30"/>
      <c r="XFA26" s="30"/>
      <c r="XFB26" s="30"/>
      <c r="XFC26" s="30"/>
      <c r="XFD26" s="30"/>
    </row>
    <row r="27" spans="1:104 16374:16384" ht="14.5" x14ac:dyDescent="0.4">
      <c r="A27" s="73" t="s">
        <v>544</v>
      </c>
      <c r="B27" s="428" t="s">
        <v>545</v>
      </c>
      <c r="C27" s="231">
        <v>10000</v>
      </c>
      <c r="D27" s="275">
        <f>C27/12</f>
        <v>833.33333333333337</v>
      </c>
      <c r="E27" s="429"/>
      <c r="F27" s="169"/>
      <c r="G27" s="456">
        <f t="shared" si="63"/>
        <v>0</v>
      </c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229"/>
      <c r="T27" s="443">
        <f t="shared" si="31"/>
        <v>0</v>
      </c>
      <c r="V27" s="169">
        <f t="shared" ref="V27:AG27" si="92">+$D27*$U15</f>
        <v>866.66666666666674</v>
      </c>
      <c r="W27" s="169">
        <f t="shared" si="92"/>
        <v>866.66666666666674</v>
      </c>
      <c r="X27" s="169">
        <f t="shared" si="92"/>
        <v>866.66666666666674</v>
      </c>
      <c r="Y27" s="169">
        <f t="shared" si="92"/>
        <v>866.66666666666674</v>
      </c>
      <c r="Z27" s="169">
        <f t="shared" si="92"/>
        <v>866.66666666666674</v>
      </c>
      <c r="AA27" s="169">
        <f t="shared" si="92"/>
        <v>866.66666666666674</v>
      </c>
      <c r="AB27" s="460">
        <f t="shared" si="92"/>
        <v>866.66666666666674</v>
      </c>
      <c r="AC27" s="460">
        <f t="shared" si="92"/>
        <v>866.66666666666674</v>
      </c>
      <c r="AD27" s="460">
        <f t="shared" si="92"/>
        <v>866.66666666666674</v>
      </c>
      <c r="AE27" s="460">
        <f t="shared" si="92"/>
        <v>866.66666666666674</v>
      </c>
      <c r="AF27" s="460">
        <f t="shared" si="92"/>
        <v>866.66666666666674</v>
      </c>
      <c r="AG27" s="460">
        <f t="shared" si="92"/>
        <v>866.66666666666674</v>
      </c>
      <c r="AH27" s="221">
        <f t="shared" si="33"/>
        <v>10400</v>
      </c>
      <c r="AJ27" s="169">
        <f t="shared" ref="AJ27:AU27" si="93">+$C27/12*$AI15</f>
        <v>894.16666666666663</v>
      </c>
      <c r="AK27" s="169">
        <f t="shared" si="93"/>
        <v>894.16666666666663</v>
      </c>
      <c r="AL27" s="169">
        <f t="shared" si="93"/>
        <v>894.16666666666663</v>
      </c>
      <c r="AM27" s="169">
        <f t="shared" si="93"/>
        <v>894.16666666666663</v>
      </c>
      <c r="AN27" s="169">
        <f t="shared" si="93"/>
        <v>894.16666666666663</v>
      </c>
      <c r="AO27" s="169">
        <f t="shared" si="93"/>
        <v>894.16666666666663</v>
      </c>
      <c r="AP27" s="169">
        <f t="shared" si="93"/>
        <v>894.16666666666663</v>
      </c>
      <c r="AQ27" s="169">
        <f t="shared" si="93"/>
        <v>894.16666666666663</v>
      </c>
      <c r="AR27" s="169">
        <f t="shared" si="93"/>
        <v>894.16666666666663</v>
      </c>
      <c r="AS27" s="169">
        <f t="shared" si="93"/>
        <v>894.16666666666663</v>
      </c>
      <c r="AT27" s="169">
        <f t="shared" si="93"/>
        <v>894.16666666666663</v>
      </c>
      <c r="AU27" s="169">
        <f t="shared" si="93"/>
        <v>894.16666666666663</v>
      </c>
      <c r="AV27" s="223">
        <f t="shared" si="66"/>
        <v>10730</v>
      </c>
      <c r="AX27" s="169">
        <f t="shared" ref="AX27:BI27" si="94">+$C27/12*$AW15</f>
        <v>919.16666666666674</v>
      </c>
      <c r="AY27" s="169">
        <f t="shared" si="94"/>
        <v>919.16666666666674</v>
      </c>
      <c r="AZ27" s="169">
        <f t="shared" si="94"/>
        <v>919.16666666666674</v>
      </c>
      <c r="BA27" s="169">
        <f t="shared" si="94"/>
        <v>919.16666666666674</v>
      </c>
      <c r="BB27" s="169">
        <f t="shared" si="94"/>
        <v>919.16666666666674</v>
      </c>
      <c r="BC27" s="169">
        <f t="shared" si="94"/>
        <v>919.16666666666674</v>
      </c>
      <c r="BD27" s="169">
        <f t="shared" si="94"/>
        <v>919.16666666666674</v>
      </c>
      <c r="BE27" s="169">
        <f t="shared" si="94"/>
        <v>919.16666666666674</v>
      </c>
      <c r="BF27" s="169">
        <f t="shared" si="94"/>
        <v>919.16666666666674</v>
      </c>
      <c r="BG27" s="169">
        <f t="shared" si="94"/>
        <v>919.16666666666674</v>
      </c>
      <c r="BH27" s="169">
        <f t="shared" si="94"/>
        <v>919.16666666666674</v>
      </c>
      <c r="BI27" s="169">
        <f t="shared" si="94"/>
        <v>919.16666666666674</v>
      </c>
      <c r="BJ27" s="444">
        <f t="shared" si="68"/>
        <v>11030</v>
      </c>
      <c r="BL27" s="169">
        <f t="shared" ref="BL27:BW27" si="95">+$C27/12*$BK15</f>
        <v>942.5</v>
      </c>
      <c r="BM27" s="169">
        <f t="shared" si="95"/>
        <v>942.5</v>
      </c>
      <c r="BN27" s="169">
        <f t="shared" si="95"/>
        <v>942.5</v>
      </c>
      <c r="BO27" s="169">
        <f t="shared" si="95"/>
        <v>942.5</v>
      </c>
      <c r="BP27" s="169">
        <f t="shared" si="95"/>
        <v>942.5</v>
      </c>
      <c r="BQ27" s="169">
        <f t="shared" si="95"/>
        <v>942.5</v>
      </c>
      <c r="BR27" s="169">
        <f t="shared" si="95"/>
        <v>942.5</v>
      </c>
      <c r="BS27" s="169">
        <f t="shared" si="95"/>
        <v>942.5</v>
      </c>
      <c r="BT27" s="169">
        <f t="shared" si="95"/>
        <v>942.5</v>
      </c>
      <c r="BU27" s="169">
        <f t="shared" si="95"/>
        <v>942.5</v>
      </c>
      <c r="BV27" s="169">
        <f t="shared" si="95"/>
        <v>942.5</v>
      </c>
      <c r="BW27" s="169">
        <f t="shared" si="95"/>
        <v>942.5</v>
      </c>
      <c r="BX27" s="445">
        <f t="shared" si="70"/>
        <v>11310</v>
      </c>
      <c r="BZ27" s="169">
        <f t="shared" si="85"/>
        <v>968.89</v>
      </c>
      <c r="CA27" s="169">
        <f t="shared" si="85"/>
        <v>968.89</v>
      </c>
      <c r="CB27" s="169">
        <f t="shared" si="85"/>
        <v>968.89</v>
      </c>
      <c r="CC27" s="169">
        <f t="shared" si="85"/>
        <v>968.89</v>
      </c>
      <c r="CD27" s="169">
        <f t="shared" si="85"/>
        <v>968.89</v>
      </c>
      <c r="CE27" s="169">
        <f t="shared" si="85"/>
        <v>968.89</v>
      </c>
      <c r="CF27" s="169">
        <f t="shared" si="85"/>
        <v>968.89</v>
      </c>
      <c r="CG27" s="169">
        <f t="shared" si="85"/>
        <v>968.89</v>
      </c>
      <c r="CH27" s="169">
        <f t="shared" si="85"/>
        <v>968.89</v>
      </c>
      <c r="CI27" s="169">
        <f t="shared" si="85"/>
        <v>968.89</v>
      </c>
      <c r="CJ27" s="169">
        <f t="shared" si="85"/>
        <v>968.89</v>
      </c>
      <c r="CK27" s="169">
        <f t="shared" si="85"/>
        <v>968.89</v>
      </c>
      <c r="CL27" s="445">
        <f t="shared" si="86"/>
        <v>11626.679999999998</v>
      </c>
      <c r="CN27" s="169">
        <f t="shared" si="87"/>
        <v>996.01891999999998</v>
      </c>
      <c r="CO27" s="169">
        <f t="shared" si="87"/>
        <v>996.01891999999998</v>
      </c>
      <c r="CP27" s="169">
        <f t="shared" si="87"/>
        <v>996.01891999999998</v>
      </c>
      <c r="CQ27" s="169">
        <f t="shared" si="87"/>
        <v>996.01891999999998</v>
      </c>
      <c r="CR27" s="169">
        <f t="shared" si="87"/>
        <v>996.01891999999998</v>
      </c>
      <c r="CS27" s="169">
        <f t="shared" si="87"/>
        <v>996.01891999999998</v>
      </c>
      <c r="CT27" s="169">
        <f t="shared" si="87"/>
        <v>996.01891999999998</v>
      </c>
      <c r="CU27" s="169">
        <f t="shared" si="87"/>
        <v>996.01891999999998</v>
      </c>
      <c r="CV27" s="169">
        <f t="shared" si="87"/>
        <v>996.01891999999998</v>
      </c>
      <c r="CW27" s="169">
        <f t="shared" si="87"/>
        <v>996.01891999999998</v>
      </c>
      <c r="CX27" s="169">
        <f t="shared" si="87"/>
        <v>996.01891999999998</v>
      </c>
      <c r="CY27" s="169">
        <f t="shared" si="87"/>
        <v>996.01891999999998</v>
      </c>
      <c r="CZ27" s="445">
        <f t="shared" si="74"/>
        <v>11952.227040000003</v>
      </c>
    </row>
    <row r="28" spans="1:104 16374:16384" ht="14.5" x14ac:dyDescent="0.4">
      <c r="A28" s="73">
        <v>7700</v>
      </c>
      <c r="B28" s="428" t="s">
        <v>209</v>
      </c>
      <c r="C28" s="231">
        <v>2721</v>
      </c>
      <c r="D28" s="275">
        <f>C28/12</f>
        <v>226.75</v>
      </c>
      <c r="E28" s="429"/>
      <c r="F28" s="169"/>
      <c r="G28" s="456">
        <f t="shared" si="63"/>
        <v>0</v>
      </c>
      <c r="H28" s="169"/>
      <c r="I28" s="169"/>
      <c r="J28" s="169"/>
      <c r="K28" s="169"/>
      <c r="L28" s="169"/>
      <c r="M28" s="169"/>
      <c r="N28" s="169"/>
      <c r="O28" s="169"/>
      <c r="P28" s="229">
        <v>1280.55</v>
      </c>
      <c r="Q28" s="169"/>
      <c r="R28" s="169"/>
      <c r="S28" s="229">
        <f>1471.29-SUM(H28:R28)</f>
        <v>190.74</v>
      </c>
      <c r="T28" s="443">
        <f>P28+S28</f>
        <v>1471.29</v>
      </c>
      <c r="V28" s="169"/>
      <c r="W28" s="169"/>
      <c r="X28" s="169">
        <f>$D28*3*$U15</f>
        <v>707.46</v>
      </c>
      <c r="Y28" s="169" t="s">
        <v>546</v>
      </c>
      <c r="Z28" s="169"/>
      <c r="AA28" s="169">
        <f>$D28*3*$U15</f>
        <v>707.46</v>
      </c>
      <c r="AB28" s="460" t="s">
        <v>546</v>
      </c>
      <c r="AC28" s="460"/>
      <c r="AD28" s="460">
        <f>$D28*3*$U15</f>
        <v>707.46</v>
      </c>
      <c r="AE28" s="460" t="s">
        <v>547</v>
      </c>
      <c r="AF28" s="460"/>
      <c r="AG28" s="460">
        <f>$D28*3*$U15</f>
        <v>707.46</v>
      </c>
      <c r="AH28" s="221">
        <f t="shared" si="33"/>
        <v>2829.84</v>
      </c>
      <c r="AJ28" s="169" t="s">
        <v>546</v>
      </c>
      <c r="AK28" s="169" t="s">
        <v>546</v>
      </c>
      <c r="AL28" s="169">
        <f>$AG28+1008</f>
        <v>1715.46</v>
      </c>
      <c r="AM28" s="169" t="s">
        <v>546</v>
      </c>
      <c r="AN28" s="169" t="s">
        <v>546</v>
      </c>
      <c r="AO28" s="169">
        <f>$AG28</f>
        <v>707.46</v>
      </c>
      <c r="AP28" s="169" t="s">
        <v>546</v>
      </c>
      <c r="AQ28" s="169" t="s">
        <v>546</v>
      </c>
      <c r="AR28" s="169">
        <f>$AG28+1008</f>
        <v>1715.46</v>
      </c>
      <c r="AS28" s="169"/>
      <c r="AT28" s="169"/>
      <c r="AU28" s="169">
        <f>$AG28*1.03</f>
        <v>728.68380000000002</v>
      </c>
      <c r="AV28" s="223">
        <f t="shared" si="66"/>
        <v>4867.0637999999999</v>
      </c>
      <c r="AX28" s="169">
        <v>0</v>
      </c>
      <c r="AY28" s="169">
        <v>0</v>
      </c>
      <c r="AZ28" s="169">
        <f t="shared" ref="AZ28:BI28" si="96">+$C28/12*$AW15</f>
        <v>250.10524999999998</v>
      </c>
      <c r="BA28" s="169">
        <f t="shared" si="96"/>
        <v>250.10524999999998</v>
      </c>
      <c r="BB28" s="169">
        <f t="shared" si="96"/>
        <v>250.10524999999998</v>
      </c>
      <c r="BC28" s="169">
        <f t="shared" si="96"/>
        <v>250.10524999999998</v>
      </c>
      <c r="BD28" s="169">
        <f t="shared" si="96"/>
        <v>250.10524999999998</v>
      </c>
      <c r="BE28" s="169">
        <f t="shared" si="96"/>
        <v>250.10524999999998</v>
      </c>
      <c r="BF28" s="169">
        <f t="shared" si="96"/>
        <v>250.10524999999998</v>
      </c>
      <c r="BG28" s="169">
        <f t="shared" si="96"/>
        <v>250.10524999999998</v>
      </c>
      <c r="BH28" s="169">
        <f t="shared" si="96"/>
        <v>250.10524999999998</v>
      </c>
      <c r="BI28" s="169">
        <f t="shared" si="96"/>
        <v>250.10524999999998</v>
      </c>
      <c r="BJ28" s="444">
        <f t="shared" si="68"/>
        <v>2501.0525000000002</v>
      </c>
      <c r="BL28" s="169">
        <f t="shared" ref="BL28:BW28" si="97">+$C28/12*$BK15</f>
        <v>256.45425</v>
      </c>
      <c r="BM28" s="169">
        <f t="shared" si="97"/>
        <v>256.45425</v>
      </c>
      <c r="BN28" s="169">
        <f t="shared" si="97"/>
        <v>256.45425</v>
      </c>
      <c r="BO28" s="169">
        <f t="shared" si="97"/>
        <v>256.45425</v>
      </c>
      <c r="BP28" s="169">
        <f t="shared" si="97"/>
        <v>256.45425</v>
      </c>
      <c r="BQ28" s="169">
        <f t="shared" si="97"/>
        <v>256.45425</v>
      </c>
      <c r="BR28" s="169">
        <f t="shared" si="97"/>
        <v>256.45425</v>
      </c>
      <c r="BS28" s="169">
        <f t="shared" si="97"/>
        <v>256.45425</v>
      </c>
      <c r="BT28" s="169">
        <f t="shared" si="97"/>
        <v>256.45425</v>
      </c>
      <c r="BU28" s="169">
        <f t="shared" si="97"/>
        <v>256.45425</v>
      </c>
      <c r="BV28" s="169">
        <f t="shared" si="97"/>
        <v>256.45425</v>
      </c>
      <c r="BW28" s="169">
        <f t="shared" si="97"/>
        <v>256.45425</v>
      </c>
      <c r="BX28" s="445">
        <f t="shared" si="70"/>
        <v>3077.4509999999991</v>
      </c>
      <c r="BZ28" s="169">
        <f t="shared" si="85"/>
        <v>263.63496900000001</v>
      </c>
      <c r="CA28" s="169">
        <f t="shared" si="85"/>
        <v>263.63496900000001</v>
      </c>
      <c r="CB28" s="169">
        <f t="shared" si="85"/>
        <v>263.63496900000001</v>
      </c>
      <c r="CC28" s="169">
        <f t="shared" si="85"/>
        <v>263.63496900000001</v>
      </c>
      <c r="CD28" s="169">
        <f t="shared" si="85"/>
        <v>263.63496900000001</v>
      </c>
      <c r="CE28" s="169">
        <f t="shared" si="85"/>
        <v>263.63496900000001</v>
      </c>
      <c r="CF28" s="169">
        <f t="shared" si="85"/>
        <v>263.63496900000001</v>
      </c>
      <c r="CG28" s="169">
        <f t="shared" si="85"/>
        <v>263.63496900000001</v>
      </c>
      <c r="CH28" s="169">
        <f t="shared" si="85"/>
        <v>263.63496900000001</v>
      </c>
      <c r="CI28" s="169">
        <f t="shared" si="85"/>
        <v>263.63496900000001</v>
      </c>
      <c r="CJ28" s="169">
        <f t="shared" si="85"/>
        <v>263.63496900000001</v>
      </c>
      <c r="CK28" s="169">
        <f t="shared" si="85"/>
        <v>263.63496900000001</v>
      </c>
      <c r="CL28" s="445">
        <f t="shared" si="86"/>
        <v>3163.6196280000008</v>
      </c>
      <c r="CN28" s="169">
        <f t="shared" si="87"/>
        <v>271.01674813200003</v>
      </c>
      <c r="CO28" s="169">
        <f t="shared" si="87"/>
        <v>271.01674813200003</v>
      </c>
      <c r="CP28" s="169">
        <f t="shared" si="87"/>
        <v>271.01674813200003</v>
      </c>
      <c r="CQ28" s="169">
        <f t="shared" si="87"/>
        <v>271.01674813200003</v>
      </c>
      <c r="CR28" s="169">
        <f t="shared" si="87"/>
        <v>271.01674813200003</v>
      </c>
      <c r="CS28" s="169">
        <f t="shared" si="87"/>
        <v>271.01674813200003</v>
      </c>
      <c r="CT28" s="169">
        <f t="shared" si="87"/>
        <v>271.01674813200003</v>
      </c>
      <c r="CU28" s="169">
        <f t="shared" si="87"/>
        <v>271.01674813200003</v>
      </c>
      <c r="CV28" s="169">
        <f t="shared" si="87"/>
        <v>271.01674813200003</v>
      </c>
      <c r="CW28" s="169">
        <f t="shared" si="87"/>
        <v>271.01674813200003</v>
      </c>
      <c r="CX28" s="169">
        <f t="shared" si="87"/>
        <v>271.01674813200003</v>
      </c>
      <c r="CY28" s="169">
        <f t="shared" si="87"/>
        <v>271.01674813200003</v>
      </c>
      <c r="CZ28" s="445">
        <f t="shared" si="74"/>
        <v>3252.2009775840002</v>
      </c>
    </row>
    <row r="29" spans="1:104 16374:16384" ht="14.5" x14ac:dyDescent="0.4">
      <c r="A29" s="73" t="s">
        <v>548</v>
      </c>
      <c r="B29" s="428" t="s">
        <v>549</v>
      </c>
      <c r="C29" s="231">
        <v>0</v>
      </c>
      <c r="D29" s="275">
        <f>C29/12</f>
        <v>0</v>
      </c>
      <c r="E29" s="429"/>
      <c r="F29" s="169"/>
      <c r="G29" s="456">
        <f t="shared" si="63"/>
        <v>0</v>
      </c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229">
        <v>0</v>
      </c>
      <c r="T29" s="443">
        <f t="shared" ref="T29:T35" si="98">SUM(H29:S29)</f>
        <v>0</v>
      </c>
      <c r="V29" s="169">
        <f t="shared" ref="V29:AG29" si="99">+$D29*$U15</f>
        <v>0</v>
      </c>
      <c r="W29" s="169">
        <f t="shared" si="99"/>
        <v>0</v>
      </c>
      <c r="X29" s="169">
        <f t="shared" si="99"/>
        <v>0</v>
      </c>
      <c r="Y29" s="169">
        <f t="shared" si="99"/>
        <v>0</v>
      </c>
      <c r="Z29" s="169">
        <f t="shared" si="99"/>
        <v>0</v>
      </c>
      <c r="AA29" s="169">
        <f t="shared" si="99"/>
        <v>0</v>
      </c>
      <c r="AB29" s="460">
        <f t="shared" si="99"/>
        <v>0</v>
      </c>
      <c r="AC29" s="460">
        <f t="shared" si="99"/>
        <v>0</v>
      </c>
      <c r="AD29" s="460">
        <f t="shared" si="99"/>
        <v>0</v>
      </c>
      <c r="AE29" s="460">
        <f t="shared" si="99"/>
        <v>0</v>
      </c>
      <c r="AF29" s="460">
        <f t="shared" si="99"/>
        <v>0</v>
      </c>
      <c r="AG29" s="460">
        <f t="shared" si="99"/>
        <v>0</v>
      </c>
      <c r="AH29" s="221">
        <f t="shared" si="33"/>
        <v>0</v>
      </c>
      <c r="AJ29" s="169">
        <f t="shared" ref="AJ29:AU29" si="100">+$C29/12*$AI15</f>
        <v>0</v>
      </c>
      <c r="AK29" s="169">
        <f t="shared" si="100"/>
        <v>0</v>
      </c>
      <c r="AL29" s="169">
        <f t="shared" si="100"/>
        <v>0</v>
      </c>
      <c r="AM29" s="169">
        <f t="shared" si="100"/>
        <v>0</v>
      </c>
      <c r="AN29" s="169">
        <f t="shared" si="100"/>
        <v>0</v>
      </c>
      <c r="AO29" s="169">
        <f t="shared" si="100"/>
        <v>0</v>
      </c>
      <c r="AP29" s="169">
        <f t="shared" si="100"/>
        <v>0</v>
      </c>
      <c r="AQ29" s="169">
        <f t="shared" si="100"/>
        <v>0</v>
      </c>
      <c r="AR29" s="169">
        <f t="shared" si="100"/>
        <v>0</v>
      </c>
      <c r="AS29" s="169">
        <f t="shared" si="100"/>
        <v>0</v>
      </c>
      <c r="AT29" s="169">
        <f t="shared" si="100"/>
        <v>0</v>
      </c>
      <c r="AU29" s="169">
        <f t="shared" si="100"/>
        <v>0</v>
      </c>
      <c r="AV29" s="223">
        <f t="shared" si="66"/>
        <v>0</v>
      </c>
      <c r="AX29" s="169">
        <v>0</v>
      </c>
      <c r="AY29" s="169">
        <v>0</v>
      </c>
      <c r="AZ29" s="169">
        <f>$AU28+1038</f>
        <v>1766.6838</v>
      </c>
      <c r="BA29" s="169">
        <v>0</v>
      </c>
      <c r="BB29" s="169">
        <v>0</v>
      </c>
      <c r="BC29" s="169">
        <f>$AU28</f>
        <v>728.68380000000002</v>
      </c>
      <c r="BD29" s="169">
        <v>0</v>
      </c>
      <c r="BE29" s="169">
        <v>0</v>
      </c>
      <c r="BF29" s="169">
        <f>$AU28+1038</f>
        <v>1766.6838</v>
      </c>
      <c r="BG29" s="169">
        <v>0</v>
      </c>
      <c r="BH29" s="169">
        <v>0</v>
      </c>
      <c r="BI29" s="169">
        <f>AU28*1.028</f>
        <v>749.08694639999999</v>
      </c>
      <c r="BJ29" s="444">
        <f t="shared" si="68"/>
        <v>5011.1383464</v>
      </c>
      <c r="BL29" s="169">
        <v>0</v>
      </c>
      <c r="BM29" s="169">
        <v>0</v>
      </c>
      <c r="BN29" s="169">
        <f>$BI29+1067</f>
        <v>1816.0869464</v>
      </c>
      <c r="BO29" s="169">
        <v>0</v>
      </c>
      <c r="BP29" s="169">
        <v>0</v>
      </c>
      <c r="BQ29" s="169">
        <f>$BI29</f>
        <v>749.08694639999999</v>
      </c>
      <c r="BR29" s="169">
        <v>0</v>
      </c>
      <c r="BS29" s="169">
        <v>0</v>
      </c>
      <c r="BT29" s="169">
        <f>$BI29+1067</f>
        <v>1816.0869464</v>
      </c>
      <c r="BU29" s="169">
        <v>0</v>
      </c>
      <c r="BV29" s="169">
        <v>0</v>
      </c>
      <c r="BW29" s="169">
        <f>$BI29*1.03</f>
        <v>771.55955479199997</v>
      </c>
      <c r="BX29" s="445">
        <f t="shared" si="70"/>
        <v>5152.8203939920004</v>
      </c>
      <c r="BZ29" s="169">
        <f t="shared" si="85"/>
        <v>793.16322232617597</v>
      </c>
      <c r="CA29" s="169">
        <f t="shared" si="85"/>
        <v>793.16322232617597</v>
      </c>
      <c r="CB29" s="169">
        <f t="shared" si="85"/>
        <v>793.16322232617597</v>
      </c>
      <c r="CC29" s="169">
        <f t="shared" si="85"/>
        <v>793.16322232617597</v>
      </c>
      <c r="CD29" s="169">
        <f t="shared" si="85"/>
        <v>793.16322232617597</v>
      </c>
      <c r="CE29" s="169">
        <f t="shared" si="85"/>
        <v>793.16322232617597</v>
      </c>
      <c r="CF29" s="169">
        <f t="shared" si="85"/>
        <v>793.16322232617597</v>
      </c>
      <c r="CG29" s="169">
        <f t="shared" si="85"/>
        <v>793.16322232617597</v>
      </c>
      <c r="CH29" s="169">
        <f t="shared" si="85"/>
        <v>793.16322232617597</v>
      </c>
      <c r="CI29" s="169">
        <f t="shared" si="85"/>
        <v>793.16322232617597</v>
      </c>
      <c r="CJ29" s="169">
        <f t="shared" si="85"/>
        <v>793.16322232617597</v>
      </c>
      <c r="CK29" s="169">
        <f t="shared" si="85"/>
        <v>793.16322232617597</v>
      </c>
      <c r="CL29" s="445">
        <f t="shared" si="86"/>
        <v>9517.9586679141121</v>
      </c>
      <c r="CN29" s="169">
        <f t="shared" si="87"/>
        <v>815.37179255130889</v>
      </c>
      <c r="CO29" s="169">
        <f t="shared" si="87"/>
        <v>815.37179255130889</v>
      </c>
      <c r="CP29" s="169">
        <f t="shared" si="87"/>
        <v>815.37179255130889</v>
      </c>
      <c r="CQ29" s="169">
        <f t="shared" si="87"/>
        <v>815.37179255130889</v>
      </c>
      <c r="CR29" s="169">
        <f t="shared" si="87"/>
        <v>815.37179255130889</v>
      </c>
      <c r="CS29" s="169">
        <f t="shared" si="87"/>
        <v>815.37179255130889</v>
      </c>
      <c r="CT29" s="169">
        <f t="shared" si="87"/>
        <v>815.37179255130889</v>
      </c>
      <c r="CU29" s="169">
        <f t="shared" si="87"/>
        <v>815.37179255130889</v>
      </c>
      <c r="CV29" s="169">
        <f t="shared" si="87"/>
        <v>815.37179255130889</v>
      </c>
      <c r="CW29" s="169">
        <f t="shared" si="87"/>
        <v>815.37179255130889</v>
      </c>
      <c r="CX29" s="169">
        <f t="shared" si="87"/>
        <v>815.37179255130889</v>
      </c>
      <c r="CY29" s="169">
        <f t="shared" si="87"/>
        <v>815.37179255130889</v>
      </c>
      <c r="CZ29" s="445">
        <f t="shared" si="74"/>
        <v>9784.4615106157071</v>
      </c>
    </row>
    <row r="30" spans="1:104 16374:16384" ht="14.5" x14ac:dyDescent="0.4">
      <c r="A30" s="73">
        <v>7745</v>
      </c>
      <c r="B30" s="428" t="s">
        <v>550</v>
      </c>
      <c r="C30" s="231">
        <f>2750*4</f>
        <v>11000</v>
      </c>
      <c r="D30" s="275">
        <f>C30/12</f>
        <v>916.66666666666663</v>
      </c>
      <c r="E30" s="429"/>
      <c r="F30" s="169"/>
      <c r="G30" s="456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229">
        <v>17090</v>
      </c>
      <c r="T30" s="443">
        <f t="shared" si="98"/>
        <v>17090</v>
      </c>
      <c r="V30" s="169"/>
      <c r="W30" s="169"/>
      <c r="X30" s="169">
        <f>880*3</f>
        <v>2640</v>
      </c>
      <c r="Y30" s="169"/>
      <c r="Z30" s="169"/>
      <c r="AA30" s="169">
        <f>+X30</f>
        <v>2640</v>
      </c>
      <c r="AB30" s="460"/>
      <c r="AC30" s="460"/>
      <c r="AD30" s="460">
        <f>+X30</f>
        <v>2640</v>
      </c>
      <c r="AE30" s="460"/>
      <c r="AF30" s="460"/>
      <c r="AG30" s="460">
        <f>+X30</f>
        <v>2640</v>
      </c>
      <c r="AH30" s="221">
        <f t="shared" si="33"/>
        <v>10560</v>
      </c>
      <c r="AJ30" s="169">
        <f t="shared" ref="AJ30:AU30" si="101">$D$30</f>
        <v>916.66666666666663</v>
      </c>
      <c r="AK30" s="169">
        <f t="shared" si="101"/>
        <v>916.66666666666663</v>
      </c>
      <c r="AL30" s="169">
        <f t="shared" si="101"/>
        <v>916.66666666666663</v>
      </c>
      <c r="AM30" s="169">
        <f t="shared" si="101"/>
        <v>916.66666666666663</v>
      </c>
      <c r="AN30" s="169">
        <f t="shared" si="101"/>
        <v>916.66666666666663</v>
      </c>
      <c r="AO30" s="169">
        <f t="shared" si="101"/>
        <v>916.66666666666663</v>
      </c>
      <c r="AP30" s="169">
        <f t="shared" si="101"/>
        <v>916.66666666666663</v>
      </c>
      <c r="AQ30" s="169">
        <f t="shared" si="101"/>
        <v>916.66666666666663</v>
      </c>
      <c r="AR30" s="169">
        <f t="shared" si="101"/>
        <v>916.66666666666663</v>
      </c>
      <c r="AS30" s="169">
        <f t="shared" si="101"/>
        <v>916.66666666666663</v>
      </c>
      <c r="AT30" s="169">
        <f t="shared" si="101"/>
        <v>916.66666666666663</v>
      </c>
      <c r="AU30" s="169">
        <f t="shared" si="101"/>
        <v>916.66666666666663</v>
      </c>
      <c r="AV30" s="223">
        <f t="shared" si="66"/>
        <v>10999.999999999998</v>
      </c>
      <c r="AX30" s="169">
        <f t="shared" ref="AX30:BI30" si="102">$D$30</f>
        <v>916.66666666666663</v>
      </c>
      <c r="AY30" s="169">
        <f t="shared" si="102"/>
        <v>916.66666666666663</v>
      </c>
      <c r="AZ30" s="169">
        <f t="shared" si="102"/>
        <v>916.66666666666663</v>
      </c>
      <c r="BA30" s="169">
        <f t="shared" si="102"/>
        <v>916.66666666666663</v>
      </c>
      <c r="BB30" s="169">
        <f t="shared" si="102"/>
        <v>916.66666666666663</v>
      </c>
      <c r="BC30" s="169">
        <f t="shared" si="102"/>
        <v>916.66666666666663</v>
      </c>
      <c r="BD30" s="169">
        <f t="shared" si="102"/>
        <v>916.66666666666663</v>
      </c>
      <c r="BE30" s="169">
        <f t="shared" si="102"/>
        <v>916.66666666666663</v>
      </c>
      <c r="BF30" s="169">
        <f t="shared" si="102"/>
        <v>916.66666666666663</v>
      </c>
      <c r="BG30" s="169">
        <f t="shared" si="102"/>
        <v>916.66666666666663</v>
      </c>
      <c r="BH30" s="169">
        <f t="shared" si="102"/>
        <v>916.66666666666663</v>
      </c>
      <c r="BI30" s="169">
        <f t="shared" si="102"/>
        <v>916.66666666666663</v>
      </c>
      <c r="BJ30" s="444">
        <f t="shared" si="68"/>
        <v>10999.999999999998</v>
      </c>
      <c r="BL30" s="169">
        <f t="shared" ref="BL30:BW30" si="103">$D$30</f>
        <v>916.66666666666663</v>
      </c>
      <c r="BM30" s="169">
        <f t="shared" si="103"/>
        <v>916.66666666666663</v>
      </c>
      <c r="BN30" s="169">
        <f t="shared" si="103"/>
        <v>916.66666666666663</v>
      </c>
      <c r="BO30" s="169">
        <f t="shared" si="103"/>
        <v>916.66666666666663</v>
      </c>
      <c r="BP30" s="169">
        <f t="shared" si="103"/>
        <v>916.66666666666663</v>
      </c>
      <c r="BQ30" s="169">
        <f t="shared" si="103"/>
        <v>916.66666666666663</v>
      </c>
      <c r="BR30" s="169">
        <f t="shared" si="103"/>
        <v>916.66666666666663</v>
      </c>
      <c r="BS30" s="169">
        <f t="shared" si="103"/>
        <v>916.66666666666663</v>
      </c>
      <c r="BT30" s="169">
        <f t="shared" si="103"/>
        <v>916.66666666666663</v>
      </c>
      <c r="BU30" s="169">
        <f t="shared" si="103"/>
        <v>916.66666666666663</v>
      </c>
      <c r="BV30" s="169">
        <f t="shared" si="103"/>
        <v>916.66666666666663</v>
      </c>
      <c r="BW30" s="169">
        <f t="shared" si="103"/>
        <v>916.66666666666663</v>
      </c>
      <c r="BX30" s="445">
        <f t="shared" si="70"/>
        <v>10999.999999999998</v>
      </c>
      <c r="BZ30" s="169">
        <f t="shared" si="85"/>
        <v>942.33333333333337</v>
      </c>
      <c r="CA30" s="169">
        <f t="shared" si="85"/>
        <v>942.33333333333337</v>
      </c>
      <c r="CB30" s="169">
        <f t="shared" si="85"/>
        <v>942.33333333333337</v>
      </c>
      <c r="CC30" s="169">
        <f t="shared" si="85"/>
        <v>942.33333333333337</v>
      </c>
      <c r="CD30" s="169">
        <f t="shared" si="85"/>
        <v>942.33333333333337</v>
      </c>
      <c r="CE30" s="169">
        <f t="shared" si="85"/>
        <v>942.33333333333337</v>
      </c>
      <c r="CF30" s="169">
        <f t="shared" si="85"/>
        <v>942.33333333333337</v>
      </c>
      <c r="CG30" s="169">
        <f t="shared" si="85"/>
        <v>942.33333333333337</v>
      </c>
      <c r="CH30" s="169">
        <f t="shared" si="85"/>
        <v>942.33333333333337</v>
      </c>
      <c r="CI30" s="169">
        <f t="shared" si="85"/>
        <v>942.33333333333337</v>
      </c>
      <c r="CJ30" s="169">
        <f t="shared" si="85"/>
        <v>942.33333333333337</v>
      </c>
      <c r="CK30" s="169">
        <f t="shared" si="85"/>
        <v>942.33333333333337</v>
      </c>
      <c r="CL30" s="445">
        <f t="shared" si="86"/>
        <v>11308.000000000002</v>
      </c>
      <c r="CN30" s="169">
        <f t="shared" si="87"/>
        <v>968.71866666666676</v>
      </c>
      <c r="CO30" s="169">
        <f t="shared" si="87"/>
        <v>968.71866666666676</v>
      </c>
      <c r="CP30" s="169">
        <f t="shared" si="87"/>
        <v>968.71866666666676</v>
      </c>
      <c r="CQ30" s="169">
        <f t="shared" si="87"/>
        <v>968.71866666666676</v>
      </c>
      <c r="CR30" s="169">
        <f t="shared" si="87"/>
        <v>968.71866666666676</v>
      </c>
      <c r="CS30" s="169">
        <f t="shared" si="87"/>
        <v>968.71866666666676</v>
      </c>
      <c r="CT30" s="169">
        <f t="shared" si="87"/>
        <v>968.71866666666676</v>
      </c>
      <c r="CU30" s="169">
        <f t="shared" si="87"/>
        <v>968.71866666666676</v>
      </c>
      <c r="CV30" s="169">
        <f t="shared" si="87"/>
        <v>968.71866666666676</v>
      </c>
      <c r="CW30" s="169">
        <f t="shared" si="87"/>
        <v>968.71866666666676</v>
      </c>
      <c r="CX30" s="169">
        <f t="shared" si="87"/>
        <v>968.71866666666676</v>
      </c>
      <c r="CY30" s="169">
        <f t="shared" si="87"/>
        <v>968.71866666666676</v>
      </c>
      <c r="CZ30" s="445">
        <f t="shared" si="74"/>
        <v>11624.624000000003</v>
      </c>
    </row>
    <row r="31" spans="1:104 16374:16384" ht="14.5" x14ac:dyDescent="0.4">
      <c r="A31" s="73">
        <v>7750</v>
      </c>
      <c r="B31" s="428" t="s">
        <v>551</v>
      </c>
      <c r="C31" s="275">
        <v>5500</v>
      </c>
      <c r="D31" s="231"/>
      <c r="E31" s="429"/>
      <c r="F31" s="169"/>
      <c r="G31" s="456">
        <f>F31</f>
        <v>0</v>
      </c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229">
        <v>5500</v>
      </c>
      <c r="T31" s="443">
        <f t="shared" si="98"/>
        <v>5500</v>
      </c>
      <c r="V31" s="163"/>
      <c r="W31" s="163"/>
      <c r="X31" s="163"/>
      <c r="Y31" s="163"/>
      <c r="Z31" s="169">
        <f>+$C31*U15</f>
        <v>5720</v>
      </c>
      <c r="AA31" s="163"/>
      <c r="AB31" s="462"/>
      <c r="AC31" s="462"/>
      <c r="AD31" s="462"/>
      <c r="AE31" s="462"/>
      <c r="AF31" s="462"/>
      <c r="AG31" s="462"/>
      <c r="AH31" s="221">
        <f t="shared" si="33"/>
        <v>5720</v>
      </c>
      <c r="AJ31" s="163"/>
      <c r="AK31" s="163"/>
      <c r="AL31" s="163"/>
      <c r="AM31" s="163"/>
      <c r="AN31" s="169">
        <f>+$C31*AI15</f>
        <v>5901.5</v>
      </c>
      <c r="AO31" s="163"/>
      <c r="AP31" s="163"/>
      <c r="AQ31" s="163"/>
      <c r="AR31" s="163"/>
      <c r="AS31" s="163"/>
      <c r="AT31" s="163"/>
      <c r="AU31" s="163"/>
      <c r="AV31" s="223">
        <f t="shared" si="66"/>
        <v>5901.5</v>
      </c>
      <c r="AX31" s="169"/>
      <c r="AY31" s="169"/>
      <c r="AZ31" s="169"/>
      <c r="BA31" s="169"/>
      <c r="BB31" s="169">
        <f>+C31*AW15</f>
        <v>6066.5</v>
      </c>
      <c r="BC31" s="169"/>
      <c r="BD31" s="169"/>
      <c r="BE31" s="169"/>
      <c r="BF31" s="169"/>
      <c r="BG31" s="169"/>
      <c r="BH31" s="169"/>
      <c r="BI31" s="169"/>
      <c r="BJ31" s="444">
        <f t="shared" si="68"/>
        <v>6066.5</v>
      </c>
      <c r="BL31" s="169"/>
      <c r="BM31" s="169"/>
      <c r="BN31" s="169"/>
      <c r="BO31" s="169"/>
      <c r="BP31" s="169">
        <f>+C31*BK15</f>
        <v>6220.5</v>
      </c>
      <c r="BQ31" s="169"/>
      <c r="BR31" s="169"/>
      <c r="BS31" s="169"/>
      <c r="BT31" s="169"/>
      <c r="BU31" s="169"/>
      <c r="BV31" s="169"/>
      <c r="BW31" s="169"/>
      <c r="BX31" s="445">
        <f t="shared" si="70"/>
        <v>6220.5</v>
      </c>
      <c r="BZ31" s="169">
        <f t="shared" si="85"/>
        <v>0</v>
      </c>
      <c r="CA31" s="169">
        <f t="shared" si="85"/>
        <v>0</v>
      </c>
      <c r="CB31" s="169">
        <f t="shared" si="85"/>
        <v>0</v>
      </c>
      <c r="CC31" s="169">
        <f t="shared" si="85"/>
        <v>0</v>
      </c>
      <c r="CD31" s="169">
        <f>C31*BY15</f>
        <v>6374.5</v>
      </c>
      <c r="CE31" s="169">
        <f t="shared" si="85"/>
        <v>0</v>
      </c>
      <c r="CF31" s="169">
        <f t="shared" si="85"/>
        <v>0</v>
      </c>
      <c r="CG31" s="169">
        <f t="shared" si="85"/>
        <v>0</v>
      </c>
      <c r="CH31" s="169">
        <f t="shared" si="85"/>
        <v>0</v>
      </c>
      <c r="CI31" s="169">
        <f t="shared" si="85"/>
        <v>0</v>
      </c>
      <c r="CJ31" s="169">
        <f t="shared" si="85"/>
        <v>0</v>
      </c>
      <c r="CK31" s="169">
        <f t="shared" si="85"/>
        <v>0</v>
      </c>
      <c r="CL31" s="445">
        <f t="shared" si="86"/>
        <v>6374.5</v>
      </c>
      <c r="CN31" s="169">
        <f t="shared" si="87"/>
        <v>0</v>
      </c>
      <c r="CO31" s="169"/>
      <c r="CP31" s="169"/>
      <c r="CQ31" s="169"/>
      <c r="CR31" s="169">
        <f>C31*CM15</f>
        <v>6528.5</v>
      </c>
      <c r="CS31" s="169"/>
      <c r="CT31" s="169"/>
      <c r="CU31" s="169"/>
      <c r="CV31" s="169"/>
      <c r="CW31" s="169"/>
      <c r="CX31" s="169"/>
      <c r="CY31" s="169"/>
      <c r="CZ31" s="445">
        <f t="shared" si="74"/>
        <v>6528.5</v>
      </c>
    </row>
    <row r="32" spans="1:104 16374:16384" ht="14.5" x14ac:dyDescent="0.4">
      <c r="A32" s="73">
        <v>7765</v>
      </c>
      <c r="B32" s="428" t="s">
        <v>552</v>
      </c>
      <c r="C32" s="133" t="s">
        <v>553</v>
      </c>
      <c r="D32" s="463">
        <v>30</v>
      </c>
      <c r="E32" s="429"/>
      <c r="F32" s="169"/>
      <c r="G32" s="456">
        <f>F32</f>
        <v>0</v>
      </c>
      <c r="H32" s="169"/>
      <c r="I32" s="169"/>
      <c r="J32" s="169"/>
      <c r="K32" s="169"/>
      <c r="L32" s="169"/>
      <c r="M32" s="169">
        <f t="shared" ref="M32:R32" si="104">+M4*$D32</f>
        <v>38.961038961038959</v>
      </c>
      <c r="N32" s="169">
        <f t="shared" si="104"/>
        <v>54</v>
      </c>
      <c r="O32" s="169">
        <f t="shared" si="104"/>
        <v>75</v>
      </c>
      <c r="P32" s="169">
        <f t="shared" si="104"/>
        <v>57</v>
      </c>
      <c r="Q32" s="169">
        <f t="shared" si="104"/>
        <v>57</v>
      </c>
      <c r="R32" s="169">
        <f t="shared" si="104"/>
        <v>57</v>
      </c>
      <c r="S32" s="229">
        <v>57</v>
      </c>
      <c r="T32" s="443">
        <f t="shared" si="98"/>
        <v>395.96103896103898</v>
      </c>
      <c r="V32" s="169">
        <f t="shared" ref="V32:AG32" si="105">+V4*$D32*$U15</f>
        <v>65.641558441558445</v>
      </c>
      <c r="W32" s="169">
        <f t="shared" si="105"/>
        <v>65.641558441558445</v>
      </c>
      <c r="X32" s="169">
        <f t="shared" si="105"/>
        <v>65.641558441558445</v>
      </c>
      <c r="Y32" s="169">
        <f t="shared" si="105"/>
        <v>65.641558441558445</v>
      </c>
      <c r="Z32" s="169">
        <f t="shared" si="105"/>
        <v>65.641558441558445</v>
      </c>
      <c r="AA32" s="169">
        <f t="shared" si="105"/>
        <v>81.038961038961034</v>
      </c>
      <c r="AB32" s="460">
        <f t="shared" si="105"/>
        <v>81.038961038961034</v>
      </c>
      <c r="AC32" s="460">
        <f t="shared" si="105"/>
        <v>97.246753246753258</v>
      </c>
      <c r="AD32" s="460">
        <f t="shared" si="105"/>
        <v>133.71428571428569</v>
      </c>
      <c r="AE32" s="460">
        <f t="shared" si="105"/>
        <v>133.71428571428569</v>
      </c>
      <c r="AF32" s="460">
        <f t="shared" si="105"/>
        <v>133.71428571428569</v>
      </c>
      <c r="AG32" s="460">
        <f t="shared" si="105"/>
        <v>117.50649350649351</v>
      </c>
      <c r="AH32" s="221">
        <f t="shared" si="33"/>
        <v>1106.181818181818</v>
      </c>
      <c r="AJ32" s="169">
        <f t="shared" ref="AJ32:AU32" si="106">+AJ4*$D32*$AI15</f>
        <v>121.23506493506493</v>
      </c>
      <c r="AK32" s="169">
        <f t="shared" si="106"/>
        <v>121.23506493506493</v>
      </c>
      <c r="AL32" s="169">
        <f t="shared" si="106"/>
        <v>121.23506493506493</v>
      </c>
      <c r="AM32" s="169">
        <f t="shared" si="106"/>
        <v>121.23506493506493</v>
      </c>
      <c r="AN32" s="169">
        <f t="shared" si="106"/>
        <v>121.23506493506493</v>
      </c>
      <c r="AO32" s="169">
        <f t="shared" si="106"/>
        <v>121.23506493506493</v>
      </c>
      <c r="AP32" s="169">
        <f t="shared" si="106"/>
        <v>121.23506493506493</v>
      </c>
      <c r="AQ32" s="169">
        <f t="shared" si="106"/>
        <v>121.23506493506493</v>
      </c>
      <c r="AR32" s="169">
        <f t="shared" si="106"/>
        <v>121.23506493506493</v>
      </c>
      <c r="AS32" s="169">
        <f t="shared" si="106"/>
        <v>121.23506493506493</v>
      </c>
      <c r="AT32" s="169">
        <f t="shared" si="106"/>
        <v>121.23506493506493</v>
      </c>
      <c r="AU32" s="169">
        <f t="shared" si="106"/>
        <v>121.23506493506493</v>
      </c>
      <c r="AV32" s="223">
        <f t="shared" si="66"/>
        <v>1454.8207792207788</v>
      </c>
      <c r="AX32" s="169">
        <f t="shared" ref="AX32:BI32" si="107">+AX4*$D32*$AW15</f>
        <v>124.62467532467532</v>
      </c>
      <c r="AY32" s="169">
        <f t="shared" si="107"/>
        <v>124.62467532467532</v>
      </c>
      <c r="AZ32" s="169">
        <f t="shared" si="107"/>
        <v>124.62467532467532</v>
      </c>
      <c r="BA32" s="169">
        <f t="shared" si="107"/>
        <v>124.62467532467532</v>
      </c>
      <c r="BB32" s="169">
        <f t="shared" si="107"/>
        <v>124.62467532467532</v>
      </c>
      <c r="BC32" s="169">
        <f t="shared" si="107"/>
        <v>124.62467532467532</v>
      </c>
      <c r="BD32" s="169">
        <f t="shared" si="107"/>
        <v>128.92207792207793</v>
      </c>
      <c r="BE32" s="169">
        <f t="shared" si="107"/>
        <v>128.92207792207793</v>
      </c>
      <c r="BF32" s="169">
        <f t="shared" si="107"/>
        <v>128.92207792207793</v>
      </c>
      <c r="BG32" s="169">
        <f t="shared" si="107"/>
        <v>128.92207792207793</v>
      </c>
      <c r="BH32" s="169">
        <f t="shared" si="107"/>
        <v>128.92207792207793</v>
      </c>
      <c r="BI32" s="169">
        <f t="shared" si="107"/>
        <v>128.92207792207793</v>
      </c>
      <c r="BJ32" s="444">
        <f t="shared" si="68"/>
        <v>1521.2805194805196</v>
      </c>
      <c r="BL32" s="169">
        <f t="shared" ref="BL32:BW32" si="108">+BL4*$D32*$BK15</f>
        <v>132.19480519480518</v>
      </c>
      <c r="BM32" s="169">
        <f t="shared" si="108"/>
        <v>132.19480519480518</v>
      </c>
      <c r="BN32" s="169">
        <f t="shared" si="108"/>
        <v>132.19480519480518</v>
      </c>
      <c r="BO32" s="169">
        <f t="shared" si="108"/>
        <v>132.19480519480518</v>
      </c>
      <c r="BP32" s="169">
        <f t="shared" si="108"/>
        <v>132.19480519480518</v>
      </c>
      <c r="BQ32" s="169">
        <f t="shared" si="108"/>
        <v>132.19480519480518</v>
      </c>
      <c r="BR32" s="169">
        <f t="shared" si="108"/>
        <v>132.19480519480518</v>
      </c>
      <c r="BS32" s="169">
        <f t="shared" si="108"/>
        <v>132.19480519480518</v>
      </c>
      <c r="BT32" s="169">
        <f t="shared" si="108"/>
        <v>132.19480519480518</v>
      </c>
      <c r="BU32" s="169">
        <f t="shared" si="108"/>
        <v>132.19480519480518</v>
      </c>
      <c r="BV32" s="169">
        <f t="shared" si="108"/>
        <v>132.19480519480518</v>
      </c>
      <c r="BW32" s="169">
        <f t="shared" si="108"/>
        <v>132.19480519480518</v>
      </c>
      <c r="BX32" s="445">
        <f t="shared" si="70"/>
        <v>1586.3376623376623</v>
      </c>
      <c r="BZ32" s="169">
        <f t="shared" si="85"/>
        <v>135.89625974025972</v>
      </c>
      <c r="CA32" s="169">
        <f t="shared" si="85"/>
        <v>135.89625974025972</v>
      </c>
      <c r="CB32" s="169">
        <f t="shared" si="85"/>
        <v>135.89625974025972</v>
      </c>
      <c r="CC32" s="169">
        <f t="shared" si="85"/>
        <v>135.89625974025972</v>
      </c>
      <c r="CD32" s="169">
        <f t="shared" si="85"/>
        <v>135.89625974025972</v>
      </c>
      <c r="CE32" s="169">
        <f t="shared" si="85"/>
        <v>135.89625974025972</v>
      </c>
      <c r="CF32" s="169">
        <f t="shared" si="85"/>
        <v>135.89625974025972</v>
      </c>
      <c r="CG32" s="169">
        <f t="shared" si="85"/>
        <v>135.89625974025972</v>
      </c>
      <c r="CH32" s="169">
        <f t="shared" si="85"/>
        <v>135.89625974025972</v>
      </c>
      <c r="CI32" s="169">
        <f t="shared" si="85"/>
        <v>135.89625974025972</v>
      </c>
      <c r="CJ32" s="169">
        <f t="shared" si="85"/>
        <v>135.89625974025972</v>
      </c>
      <c r="CK32" s="169">
        <f t="shared" si="85"/>
        <v>135.89625974025972</v>
      </c>
      <c r="CL32" s="445">
        <f t="shared" si="86"/>
        <v>1630.7551168831162</v>
      </c>
      <c r="CN32" s="169">
        <f t="shared" si="87"/>
        <v>139.70135501298699</v>
      </c>
      <c r="CO32" s="169">
        <f t="shared" si="87"/>
        <v>139.70135501298699</v>
      </c>
      <c r="CP32" s="169">
        <f t="shared" si="87"/>
        <v>139.70135501298699</v>
      </c>
      <c r="CQ32" s="169">
        <f t="shared" si="87"/>
        <v>139.70135501298699</v>
      </c>
      <c r="CR32" s="169">
        <f t="shared" si="87"/>
        <v>139.70135501298699</v>
      </c>
      <c r="CS32" s="169">
        <f t="shared" si="87"/>
        <v>139.70135501298699</v>
      </c>
      <c r="CT32" s="169">
        <f t="shared" si="87"/>
        <v>139.70135501298699</v>
      </c>
      <c r="CU32" s="169">
        <f t="shared" si="87"/>
        <v>139.70135501298699</v>
      </c>
      <c r="CV32" s="169">
        <f t="shared" si="87"/>
        <v>139.70135501298699</v>
      </c>
      <c r="CW32" s="169">
        <f t="shared" si="87"/>
        <v>139.70135501298699</v>
      </c>
      <c r="CX32" s="169">
        <f t="shared" si="87"/>
        <v>139.70135501298699</v>
      </c>
      <c r="CY32" s="169">
        <f t="shared" si="87"/>
        <v>139.70135501298699</v>
      </c>
      <c r="CZ32" s="445">
        <f t="shared" si="74"/>
        <v>1676.4162601558444</v>
      </c>
    </row>
    <row r="33" spans="1:104 16374:16384" ht="14.5" x14ac:dyDescent="0.4">
      <c r="A33" s="73" t="s">
        <v>554</v>
      </c>
      <c r="B33" s="375" t="s">
        <v>555</v>
      </c>
      <c r="C33" s="275">
        <v>1800</v>
      </c>
      <c r="D33" s="275">
        <v>3800</v>
      </c>
      <c r="E33" s="464"/>
      <c r="F33" s="465"/>
      <c r="G33" s="466">
        <f>F33</f>
        <v>0</v>
      </c>
      <c r="H33" s="465"/>
      <c r="I33" s="465"/>
      <c r="J33" s="465"/>
      <c r="K33" s="465"/>
      <c r="L33" s="465"/>
      <c r="M33" s="467"/>
      <c r="N33" s="465"/>
      <c r="O33" s="465"/>
      <c r="P33" s="467"/>
      <c r="Q33" s="467"/>
      <c r="R33" s="467"/>
      <c r="S33" s="468">
        <v>2283.3346000000001</v>
      </c>
      <c r="T33" s="469">
        <f t="shared" si="98"/>
        <v>2283.3346000000001</v>
      </c>
      <c r="U33" s="470"/>
      <c r="V33" s="467">
        <f>C33*U15</f>
        <v>1872</v>
      </c>
      <c r="W33" s="470"/>
      <c r="X33" s="470"/>
      <c r="Y33" s="470"/>
      <c r="Z33" s="470"/>
      <c r="AA33" s="470"/>
      <c r="AB33" s="471"/>
      <c r="AC33" s="472">
        <f>D33*U15</f>
        <v>3952</v>
      </c>
      <c r="AD33" s="471"/>
      <c r="AE33" s="471"/>
      <c r="AF33" s="471"/>
      <c r="AG33" s="471"/>
      <c r="AH33" s="473">
        <f t="shared" si="33"/>
        <v>5824</v>
      </c>
      <c r="AI33" s="470"/>
      <c r="AJ33" s="467">
        <f>$C33*AI15</f>
        <v>1931.3999999999999</v>
      </c>
      <c r="AK33" s="470"/>
      <c r="AL33" s="470"/>
      <c r="AM33" s="470"/>
      <c r="AN33" s="470"/>
      <c r="AO33" s="470"/>
      <c r="AP33" s="470"/>
      <c r="AQ33" s="470"/>
      <c r="AR33" s="470"/>
      <c r="AS33" s="470"/>
      <c r="AT33" s="470"/>
      <c r="AU33" s="470"/>
      <c r="AV33" s="474">
        <f t="shared" si="66"/>
        <v>1931.3999999999999</v>
      </c>
      <c r="AW33" s="470"/>
      <c r="AX33" s="467">
        <f>$C33*AW15</f>
        <v>1985.3999999999999</v>
      </c>
      <c r="AY33" s="470"/>
      <c r="AZ33" s="470"/>
      <c r="BA33" s="470"/>
      <c r="BB33" s="470"/>
      <c r="BC33" s="470"/>
      <c r="BD33" s="470"/>
      <c r="BE33" s="470">
        <f>D33*AW15</f>
        <v>4191.3999999999996</v>
      </c>
      <c r="BF33" s="470"/>
      <c r="BG33" s="470"/>
      <c r="BH33" s="470"/>
      <c r="BI33" s="470"/>
      <c r="BJ33" s="475">
        <f t="shared" si="68"/>
        <v>6176.7999999999993</v>
      </c>
      <c r="BK33" s="470"/>
      <c r="BL33" s="467">
        <f>$C33*BK15</f>
        <v>2035.8</v>
      </c>
      <c r="BM33" s="470"/>
      <c r="BN33" s="470"/>
      <c r="BO33" s="470"/>
      <c r="BP33" s="470"/>
      <c r="BQ33" s="470"/>
      <c r="BR33" s="470"/>
      <c r="BS33" s="470"/>
      <c r="BT33" s="470"/>
      <c r="BU33" s="470"/>
      <c r="BV33" s="470"/>
      <c r="BW33" s="470"/>
      <c r="BX33" s="476">
        <f t="shared" si="70"/>
        <v>2035.8</v>
      </c>
      <c r="BZ33" s="136">
        <f>BL33*(1+BY2)</f>
        <v>2092.8024</v>
      </c>
      <c r="CA33" s="470"/>
      <c r="CB33" s="169">
        <f>BW33*(1+$BY$2)</f>
        <v>0</v>
      </c>
      <c r="CC33" s="470"/>
      <c r="CD33" s="470"/>
      <c r="CE33" s="470"/>
      <c r="CF33" s="470"/>
      <c r="CG33" s="467">
        <f>D33*BY15</f>
        <v>4404.2</v>
      </c>
      <c r="CH33" s="470"/>
      <c r="CI33" s="470"/>
      <c r="CJ33" s="470"/>
      <c r="CK33" s="470"/>
      <c r="CL33" s="445">
        <f t="shared" si="86"/>
        <v>6497.0023999999994</v>
      </c>
      <c r="CM33" s="470"/>
      <c r="CN33" s="467">
        <f>$C33*CM15</f>
        <v>2136.6</v>
      </c>
      <c r="CO33" s="470"/>
      <c r="CP33" s="470"/>
      <c r="CQ33" s="470"/>
      <c r="CR33" s="470"/>
      <c r="CS33" s="470"/>
      <c r="CT33" s="470"/>
      <c r="CU33" s="470"/>
      <c r="CV33" s="470"/>
      <c r="CW33" s="470"/>
      <c r="CX33" s="470"/>
      <c r="CY33" s="470"/>
      <c r="CZ33" s="476">
        <f t="shared" si="74"/>
        <v>2136.6</v>
      </c>
    </row>
    <row r="34" spans="1:104 16374:16384" ht="14.5" x14ac:dyDescent="0.4">
      <c r="A34" s="73" t="s">
        <v>358</v>
      </c>
      <c r="B34" s="375" t="s">
        <v>556</v>
      </c>
      <c r="C34" s="275"/>
      <c r="D34" s="275"/>
      <c r="E34" s="464"/>
      <c r="F34" s="465"/>
      <c r="G34" s="466"/>
      <c r="H34" s="465"/>
      <c r="I34" s="465"/>
      <c r="J34" s="465"/>
      <c r="K34" s="465"/>
      <c r="L34" s="465"/>
      <c r="M34" s="467"/>
      <c r="N34" s="465"/>
      <c r="O34" s="465"/>
      <c r="P34" s="467"/>
      <c r="Q34" s="467"/>
      <c r="R34" s="467"/>
      <c r="S34" s="468">
        <v>0</v>
      </c>
      <c r="T34" s="469">
        <f t="shared" si="98"/>
        <v>0</v>
      </c>
      <c r="U34" s="470"/>
      <c r="V34" s="467"/>
      <c r="W34" s="470"/>
      <c r="X34" s="470"/>
      <c r="Y34" s="470"/>
      <c r="Z34" s="470"/>
      <c r="AA34" s="470"/>
      <c r="AB34" s="470"/>
      <c r="AC34" s="467"/>
      <c r="AD34" s="470"/>
      <c r="AE34" s="470"/>
      <c r="AF34" s="470"/>
      <c r="AG34" s="470"/>
      <c r="AH34" s="473"/>
      <c r="AI34" s="470"/>
      <c r="AJ34" s="467"/>
      <c r="AK34" s="470">
        <v>1000</v>
      </c>
      <c r="AL34" s="470"/>
      <c r="AM34" s="470"/>
      <c r="AN34" s="470">
        <v>1000</v>
      </c>
      <c r="AO34" s="470"/>
      <c r="AP34" s="470"/>
      <c r="AQ34" s="470">
        <v>1000</v>
      </c>
      <c r="AR34" s="470"/>
      <c r="AS34" s="470"/>
      <c r="AT34" s="470">
        <v>1000</v>
      </c>
      <c r="AU34" s="470"/>
      <c r="AV34" s="474"/>
      <c r="AW34" s="470"/>
      <c r="AX34" s="467"/>
      <c r="AY34" s="470"/>
      <c r="AZ34" s="470"/>
      <c r="BA34" s="470"/>
      <c r="BB34" s="470"/>
      <c r="BC34" s="470"/>
      <c r="BD34" s="470"/>
      <c r="BE34" s="470"/>
      <c r="BF34" s="470"/>
      <c r="BG34" s="470"/>
      <c r="BH34" s="470"/>
      <c r="BI34" s="470"/>
      <c r="BJ34" s="475"/>
      <c r="BK34" s="470"/>
      <c r="BL34" s="467"/>
      <c r="BM34" s="470"/>
      <c r="BN34" s="470"/>
      <c r="BO34" s="470"/>
      <c r="BP34" s="470"/>
      <c r="BQ34" s="470"/>
      <c r="BR34" s="470"/>
      <c r="BS34" s="470"/>
      <c r="BT34" s="470"/>
      <c r="BU34" s="470"/>
      <c r="BV34" s="470"/>
      <c r="BW34" s="470"/>
      <c r="BX34" s="476"/>
      <c r="BY34" s="470"/>
      <c r="BZ34" s="467"/>
      <c r="CA34" s="470"/>
      <c r="CB34" s="470"/>
      <c r="CC34" s="470"/>
      <c r="CD34" s="470"/>
      <c r="CE34" s="470"/>
      <c r="CF34" s="470"/>
      <c r="CG34" s="470"/>
      <c r="CH34" s="470"/>
      <c r="CI34" s="470"/>
      <c r="CJ34" s="470"/>
      <c r="CK34" s="470"/>
      <c r="CL34" s="476"/>
      <c r="CM34" s="470"/>
      <c r="CN34" s="467"/>
      <c r="CO34" s="470"/>
      <c r="CP34" s="470"/>
      <c r="CQ34" s="470"/>
      <c r="CR34" s="470"/>
      <c r="CS34" s="470"/>
      <c r="CT34" s="470"/>
      <c r="CU34" s="470"/>
      <c r="CV34" s="470"/>
      <c r="CW34" s="470"/>
      <c r="CX34" s="470"/>
      <c r="CY34" s="470"/>
      <c r="CZ34" s="476"/>
    </row>
    <row r="35" spans="1:104 16374:16384" ht="14.5" x14ac:dyDescent="0.4">
      <c r="B35" s="477" t="s">
        <v>557</v>
      </c>
      <c r="C35" s="478"/>
      <c r="D35" s="479"/>
      <c r="E35" s="231"/>
      <c r="F35" s="480">
        <f>SUM(F16:F33)</f>
        <v>0</v>
      </c>
      <c r="G35" s="481">
        <f>F35</f>
        <v>0</v>
      </c>
      <c r="H35" s="480">
        <f>SUM(H16:H33)</f>
        <v>0</v>
      </c>
      <c r="I35" s="480">
        <f>SUM(I16:I33)</f>
        <v>0</v>
      </c>
      <c r="J35" s="480">
        <f t="shared" ref="J35:S35" si="109">SUM(J16:J34)</f>
        <v>0</v>
      </c>
      <c r="K35" s="480">
        <f t="shared" si="109"/>
        <v>0</v>
      </c>
      <c r="L35" s="480">
        <f t="shared" si="109"/>
        <v>0</v>
      </c>
      <c r="M35" s="480">
        <f t="shared" si="109"/>
        <v>38.961038961038959</v>
      </c>
      <c r="N35" s="480">
        <f t="shared" si="109"/>
        <v>54</v>
      </c>
      <c r="O35" s="480">
        <f t="shared" si="109"/>
        <v>75</v>
      </c>
      <c r="P35" s="480">
        <f t="shared" si="109"/>
        <v>1337.55</v>
      </c>
      <c r="Q35" s="480">
        <f t="shared" si="109"/>
        <v>57</v>
      </c>
      <c r="R35" s="480">
        <f t="shared" si="109"/>
        <v>57</v>
      </c>
      <c r="S35" s="480">
        <f t="shared" si="109"/>
        <v>57666.074600000007</v>
      </c>
      <c r="T35" s="482">
        <f t="shared" si="98"/>
        <v>59285.585638961049</v>
      </c>
      <c r="U35" s="314"/>
      <c r="V35" s="480">
        <f t="shared" ref="V35:AG35" si="110">SUM(V16:V34)</f>
        <v>3280.9748917748921</v>
      </c>
      <c r="W35" s="480">
        <f t="shared" si="110"/>
        <v>1408.9748917748918</v>
      </c>
      <c r="X35" s="480">
        <f t="shared" si="110"/>
        <v>7931.8348917748917</v>
      </c>
      <c r="Y35" s="480">
        <f t="shared" si="110"/>
        <v>4084.3748917748921</v>
      </c>
      <c r="Z35" s="480">
        <f t="shared" si="110"/>
        <v>11548.374891774893</v>
      </c>
      <c r="AA35" s="480">
        <f t="shared" si="110"/>
        <v>7447.2322943722947</v>
      </c>
      <c r="AB35" s="480">
        <f t="shared" si="110"/>
        <v>5117.1522943722948</v>
      </c>
      <c r="AC35" s="480">
        <f t="shared" si="110"/>
        <v>9085.3600865800872</v>
      </c>
      <c r="AD35" s="480">
        <f t="shared" si="110"/>
        <v>8517.28761904762</v>
      </c>
      <c r="AE35" s="480">
        <f t="shared" si="110"/>
        <v>5169.827619047619</v>
      </c>
      <c r="AF35" s="480">
        <f t="shared" si="110"/>
        <v>5169.827619047619</v>
      </c>
      <c r="AG35" s="480">
        <f t="shared" si="110"/>
        <v>8501.0798268398266</v>
      </c>
      <c r="AH35" s="245">
        <f>SUM(V35:AG35)</f>
        <v>77262.301818181819</v>
      </c>
      <c r="AI35" s="314"/>
      <c r="AJ35" s="480">
        <f t="shared" ref="AJ35:AU35" si="111">SUM(AJ16:AJ34)</f>
        <v>8709.152564935066</v>
      </c>
      <c r="AK35" s="480">
        <f t="shared" si="111"/>
        <v>7777.7525649350655</v>
      </c>
      <c r="AL35" s="480">
        <f t="shared" si="111"/>
        <v>8493.2125649350655</v>
      </c>
      <c r="AM35" s="480">
        <f t="shared" si="111"/>
        <v>6777.7525649350655</v>
      </c>
      <c r="AN35" s="480">
        <f t="shared" si="111"/>
        <v>13679.252564935066</v>
      </c>
      <c r="AO35" s="480">
        <f t="shared" si="111"/>
        <v>7485.2125649350655</v>
      </c>
      <c r="AP35" s="480">
        <f t="shared" si="111"/>
        <v>6777.7525649350655</v>
      </c>
      <c r="AQ35" s="480">
        <f t="shared" si="111"/>
        <v>7777.7525649350655</v>
      </c>
      <c r="AR35" s="480">
        <f t="shared" si="111"/>
        <v>8493.2125649350655</v>
      </c>
      <c r="AS35" s="480">
        <f t="shared" si="111"/>
        <v>6777.7525649350655</v>
      </c>
      <c r="AT35" s="480">
        <f t="shared" si="111"/>
        <v>7777.7525649350655</v>
      </c>
      <c r="AU35" s="480">
        <f t="shared" si="111"/>
        <v>7506.4363649350653</v>
      </c>
      <c r="AV35" s="248">
        <f>SUM(AJ35:AU35)</f>
        <v>98032.994579220802</v>
      </c>
      <c r="AW35" s="314"/>
      <c r="AX35" s="480">
        <f t="shared" ref="AX35:BI35" si="112">SUM(AX16:AX34)</f>
        <v>8367.8769253246755</v>
      </c>
      <c r="AY35" s="480">
        <f t="shared" si="112"/>
        <v>6382.4769253246759</v>
      </c>
      <c r="AZ35" s="480">
        <f t="shared" si="112"/>
        <v>8399.2659753246753</v>
      </c>
      <c r="BA35" s="480">
        <f t="shared" si="112"/>
        <v>6632.5821753246755</v>
      </c>
      <c r="BB35" s="480">
        <f t="shared" si="112"/>
        <v>12699.082175324676</v>
      </c>
      <c r="BC35" s="480">
        <f t="shared" si="112"/>
        <v>7361.2659753246753</v>
      </c>
      <c r="BD35" s="480">
        <f t="shared" si="112"/>
        <v>6636.8795779220782</v>
      </c>
      <c r="BE35" s="480">
        <f t="shared" si="112"/>
        <v>10828.279577922078</v>
      </c>
      <c r="BF35" s="480">
        <f t="shared" si="112"/>
        <v>8403.5633779220771</v>
      </c>
      <c r="BG35" s="480">
        <f t="shared" si="112"/>
        <v>6636.8795779220782</v>
      </c>
      <c r="BH35" s="480">
        <f t="shared" si="112"/>
        <v>6636.8795779220782</v>
      </c>
      <c r="BI35" s="480">
        <f t="shared" si="112"/>
        <v>7385.9665243220779</v>
      </c>
      <c r="BJ35" s="483">
        <f>SUM(AX35:BI35)</f>
        <v>96370.998365880529</v>
      </c>
      <c r="BK35" s="314"/>
      <c r="BL35" s="480">
        <f t="shared" ref="BL35:BW35" si="113">SUM(BL16:BL34)</f>
        <v>8817.8889718614719</v>
      </c>
      <c r="BM35" s="480">
        <f t="shared" si="113"/>
        <v>6782.0889718614717</v>
      </c>
      <c r="BN35" s="480">
        <f t="shared" si="113"/>
        <v>8598.1759182614715</v>
      </c>
      <c r="BO35" s="480">
        <f t="shared" si="113"/>
        <v>6782.0889718614717</v>
      </c>
      <c r="BP35" s="480">
        <f t="shared" si="113"/>
        <v>13002.588971861473</v>
      </c>
      <c r="BQ35" s="480">
        <f t="shared" si="113"/>
        <v>7531.1759182614715</v>
      </c>
      <c r="BR35" s="480">
        <f t="shared" si="113"/>
        <v>6782.0889718614717</v>
      </c>
      <c r="BS35" s="480">
        <f t="shared" si="113"/>
        <v>6782.0889718614717</v>
      </c>
      <c r="BT35" s="480">
        <f t="shared" si="113"/>
        <v>8598.1759182614715</v>
      </c>
      <c r="BU35" s="480">
        <f t="shared" si="113"/>
        <v>6782.0889718614717</v>
      </c>
      <c r="BV35" s="480">
        <f t="shared" si="113"/>
        <v>6782.0889718614717</v>
      </c>
      <c r="BW35" s="480">
        <f t="shared" si="113"/>
        <v>7553.6485266534719</v>
      </c>
      <c r="BX35" s="484">
        <f>SUM(BL35:BW35)</f>
        <v>94794.188056329673</v>
      </c>
      <c r="BY35" s="314"/>
      <c r="BZ35" s="480">
        <f t="shared" ref="BZ35:CK35" si="114">SUM(BZ16:BZ34)</f>
        <v>9857.9530853997694</v>
      </c>
      <c r="CA35" s="480">
        <f t="shared" si="114"/>
        <v>7765.1506853997689</v>
      </c>
      <c r="CB35" s="480">
        <f t="shared" si="114"/>
        <v>7765.1506853997689</v>
      </c>
      <c r="CC35" s="480">
        <f t="shared" si="114"/>
        <v>7765.1506853997689</v>
      </c>
      <c r="CD35" s="480">
        <f t="shared" si="114"/>
        <v>14139.650685399771</v>
      </c>
      <c r="CE35" s="480">
        <f t="shared" si="114"/>
        <v>7765.1506853997689</v>
      </c>
      <c r="CF35" s="480">
        <f t="shared" si="114"/>
        <v>7765.1506853997689</v>
      </c>
      <c r="CG35" s="480">
        <f t="shared" si="114"/>
        <v>12169.350685399768</v>
      </c>
      <c r="CH35" s="480">
        <f t="shared" si="114"/>
        <v>7765.1506853997689</v>
      </c>
      <c r="CI35" s="480">
        <f t="shared" si="114"/>
        <v>7765.1506853997689</v>
      </c>
      <c r="CJ35" s="480">
        <f t="shared" si="114"/>
        <v>7765.1506853997689</v>
      </c>
      <c r="CK35" s="480">
        <f t="shared" si="114"/>
        <v>7765.1506853997689</v>
      </c>
      <c r="CL35" s="484">
        <f>SUM(BZ35:CK35)</f>
        <v>106053.31062479725</v>
      </c>
      <c r="CM35" s="314"/>
      <c r="CN35" s="480">
        <f t="shared" ref="CN35:CY35" si="115">SUM(CN16:CN34)</f>
        <v>10119.174904590964</v>
      </c>
      <c r="CO35" s="480">
        <f t="shared" si="115"/>
        <v>7982.5749045909633</v>
      </c>
      <c r="CP35" s="480">
        <f t="shared" si="115"/>
        <v>7982.5749045909633</v>
      </c>
      <c r="CQ35" s="480">
        <f t="shared" si="115"/>
        <v>7982.5749045909633</v>
      </c>
      <c r="CR35" s="480">
        <f t="shared" si="115"/>
        <v>14511.074904590963</v>
      </c>
      <c r="CS35" s="480">
        <f t="shared" si="115"/>
        <v>7982.5749045909633</v>
      </c>
      <c r="CT35" s="480">
        <f t="shared" si="115"/>
        <v>7982.5749045909633</v>
      </c>
      <c r="CU35" s="480">
        <f t="shared" si="115"/>
        <v>7982.5749045909633</v>
      </c>
      <c r="CV35" s="480">
        <f t="shared" si="115"/>
        <v>7982.5749045909633</v>
      </c>
      <c r="CW35" s="480">
        <f t="shared" si="115"/>
        <v>7982.5749045909633</v>
      </c>
      <c r="CX35" s="480">
        <f t="shared" si="115"/>
        <v>7982.5749045909633</v>
      </c>
      <c r="CY35" s="480">
        <f t="shared" si="115"/>
        <v>7982.5749045909633</v>
      </c>
      <c r="CZ35" s="484">
        <f>SUM(CN35:CY35)</f>
        <v>104455.99885509154</v>
      </c>
    </row>
    <row r="36" spans="1:104 16374:16384" ht="14.5" x14ac:dyDescent="0.4">
      <c r="B36" s="251"/>
      <c r="D36" s="195"/>
      <c r="E36" s="485"/>
      <c r="G36" s="357"/>
      <c r="T36" s="433">
        <f>SUM(T16:T34)-T35</f>
        <v>0</v>
      </c>
      <c r="AH36" s="434">
        <f>SUM(AH15:AH33)-AH35</f>
        <v>0</v>
      </c>
      <c r="AV36" s="486">
        <f>SUM(AV15:AV33)-AV35</f>
        <v>-4000.0000000000146</v>
      </c>
      <c r="BJ36" s="451">
        <f>SUM(BJ16:BJ33)-BJ35</f>
        <v>0</v>
      </c>
      <c r="BX36" s="359"/>
      <c r="CL36" s="359"/>
      <c r="CZ36" s="359"/>
    </row>
    <row r="37" spans="1:104 16374:16384" ht="14.5" x14ac:dyDescent="0.4">
      <c r="B37" s="139" t="str">
        <f>+Mitgl!B22</f>
        <v>umsatzabhängiger Aufwand</v>
      </c>
      <c r="C37" s="487"/>
      <c r="D37" s="488"/>
      <c r="E37" s="195"/>
      <c r="F37" s="489"/>
      <c r="G37" s="490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  <c r="T37" s="369"/>
      <c r="U37" s="489"/>
      <c r="V37" s="489"/>
      <c r="W37" s="489"/>
      <c r="X37" s="489"/>
      <c r="Y37" s="489"/>
      <c r="Z37" s="489"/>
      <c r="AA37" s="489"/>
      <c r="AB37" s="489"/>
      <c r="AC37" s="489"/>
      <c r="AD37" s="489"/>
      <c r="AE37" s="489"/>
      <c r="AF37" s="489"/>
      <c r="AG37" s="489"/>
      <c r="AH37" s="371"/>
      <c r="AI37" s="489"/>
      <c r="AJ37" s="268"/>
      <c r="AK37" s="268"/>
      <c r="AL37" s="268"/>
      <c r="AM37" s="268"/>
      <c r="AN37" s="268"/>
      <c r="AO37" s="268"/>
      <c r="AP37" s="268"/>
      <c r="AQ37" s="268"/>
      <c r="AR37" s="268"/>
      <c r="AS37" s="268"/>
      <c r="AT37" s="268"/>
      <c r="AU37" s="268"/>
      <c r="AV37" s="372"/>
      <c r="AW37" s="489"/>
      <c r="AX37" s="268"/>
      <c r="AY37" s="268"/>
      <c r="AZ37" s="268"/>
      <c r="BA37" s="268"/>
      <c r="BB37" s="268"/>
      <c r="BC37" s="268"/>
      <c r="BD37" s="268"/>
      <c r="BE37" s="268"/>
      <c r="BF37" s="268"/>
      <c r="BG37" s="268"/>
      <c r="BH37" s="268"/>
      <c r="BI37" s="268"/>
      <c r="BJ37" s="373"/>
      <c r="BK37" s="489"/>
      <c r="BL37" s="268"/>
      <c r="BM37" s="268"/>
      <c r="BN37" s="268"/>
      <c r="BO37" s="268"/>
      <c r="BP37" s="268"/>
      <c r="BQ37" s="268"/>
      <c r="BR37" s="268"/>
      <c r="BS37" s="268"/>
      <c r="BT37" s="268"/>
      <c r="BU37" s="268"/>
      <c r="BV37" s="268"/>
      <c r="BW37" s="268"/>
      <c r="BX37" s="491"/>
      <c r="BY37" s="489"/>
      <c r="BZ37" s="268"/>
      <c r="CA37" s="268"/>
      <c r="CB37" s="268"/>
      <c r="CC37" s="268"/>
      <c r="CD37" s="268"/>
      <c r="CE37" s="268"/>
      <c r="CF37" s="268"/>
      <c r="CG37" s="268"/>
      <c r="CH37" s="268"/>
      <c r="CI37" s="268"/>
      <c r="CJ37" s="268"/>
      <c r="CK37" s="268"/>
      <c r="CL37" s="491"/>
      <c r="CM37" s="489"/>
      <c r="CN37" s="268"/>
      <c r="CO37" s="268"/>
      <c r="CP37" s="268"/>
      <c r="CQ37" s="268"/>
      <c r="CR37" s="268"/>
      <c r="CS37" s="268"/>
      <c r="CT37" s="268"/>
      <c r="CU37" s="268"/>
      <c r="CV37" s="268"/>
      <c r="CW37" s="268"/>
      <c r="CX37" s="268"/>
      <c r="CY37" s="268"/>
      <c r="CZ37" s="491"/>
    </row>
    <row r="38" spans="1:104 16374:16384" ht="14.5" x14ac:dyDescent="0.4">
      <c r="B38" s="492" t="str">
        <f>+Mitgl!B23</f>
        <v>Abfallentsorgung (xx% vom Umsatz) inkl. USt.</v>
      </c>
      <c r="C38" s="493"/>
      <c r="D38" s="494">
        <v>0</v>
      </c>
      <c r="E38" s="495"/>
      <c r="F38" s="304">
        <f>+Mitgl!F23</f>
        <v>0</v>
      </c>
      <c r="G38" s="496">
        <f>F38</f>
        <v>0</v>
      </c>
      <c r="H38" s="304">
        <f>+Mitgl!H23</f>
        <v>0</v>
      </c>
      <c r="I38" s="304">
        <f>+Mitgl!I23</f>
        <v>0</v>
      </c>
      <c r="J38" s="304">
        <f>+Mitgl!J23</f>
        <v>0</v>
      </c>
      <c r="K38" s="304">
        <f>+Mitgl!K23</f>
        <v>0</v>
      </c>
      <c r="L38" s="304">
        <f>+Mitgl!L23</f>
        <v>0</v>
      </c>
      <c r="M38" s="304">
        <f>+Mitgl!M23</f>
        <v>0</v>
      </c>
      <c r="N38" s="304">
        <f>+Mitgl!N23</f>
        <v>0</v>
      </c>
      <c r="O38" s="304">
        <f>+Mitgl!O23</f>
        <v>0</v>
      </c>
      <c r="P38" s="304">
        <f>+Mitgl!P23</f>
        <v>0</v>
      </c>
      <c r="Q38" s="304">
        <f>+Mitgl!Q23</f>
        <v>0</v>
      </c>
      <c r="R38" s="304">
        <f>+Mitgl!R23</f>
        <v>0</v>
      </c>
      <c r="S38" s="304">
        <f>+Mitgl!S23</f>
        <v>0</v>
      </c>
      <c r="T38" s="497">
        <f>SUM(F38:S38)</f>
        <v>0</v>
      </c>
      <c r="U38" s="467"/>
      <c r="V38" s="467">
        <f>+Mitgl!V23</f>
        <v>0</v>
      </c>
      <c r="W38" s="467">
        <f>+Mitgl!W23</f>
        <v>0</v>
      </c>
      <c r="X38" s="467">
        <f>+Mitgl!X23</f>
        <v>0</v>
      </c>
      <c r="Y38" s="467">
        <f>+Mitgl!Y23</f>
        <v>0</v>
      </c>
      <c r="Z38" s="467">
        <f>+Mitgl!Z23</f>
        <v>0</v>
      </c>
      <c r="AA38" s="467">
        <f>+Mitgl!AA23</f>
        <v>0</v>
      </c>
      <c r="AB38" s="467">
        <f>+Mitgl!AB23</f>
        <v>0</v>
      </c>
      <c r="AC38" s="467">
        <f>+Mitgl!AC23</f>
        <v>0</v>
      </c>
      <c r="AD38" s="467">
        <f>+Mitgl!AD23</f>
        <v>0</v>
      </c>
      <c r="AE38" s="467">
        <f>+Mitgl!AE23</f>
        <v>0</v>
      </c>
      <c r="AF38" s="467">
        <f>+Mitgl!AF23</f>
        <v>0</v>
      </c>
      <c r="AG38" s="467">
        <f>+Mitgl!AG23</f>
        <v>0</v>
      </c>
      <c r="AH38" s="473">
        <f>SUM(V38:AG38)</f>
        <v>0</v>
      </c>
      <c r="AI38" s="465"/>
      <c r="AJ38" s="467">
        <f>+Mitgl!AJ23</f>
        <v>0</v>
      </c>
      <c r="AK38" s="467">
        <f>+Mitgl!AK23</f>
        <v>0</v>
      </c>
      <c r="AL38" s="467">
        <f>+Mitgl!AL23</f>
        <v>0</v>
      </c>
      <c r="AM38" s="467">
        <f>+Mitgl!AM23</f>
        <v>0</v>
      </c>
      <c r="AN38" s="467">
        <f>+Mitgl!AN23</f>
        <v>0</v>
      </c>
      <c r="AO38" s="467">
        <f>+Mitgl!AO23</f>
        <v>0</v>
      </c>
      <c r="AP38" s="467">
        <f>+Mitgl!AP23</f>
        <v>0</v>
      </c>
      <c r="AQ38" s="467">
        <f>+Mitgl!AQ23</f>
        <v>0</v>
      </c>
      <c r="AR38" s="467">
        <f>+Mitgl!AR23</f>
        <v>0</v>
      </c>
      <c r="AS38" s="467">
        <f>+Mitgl!AS23</f>
        <v>0</v>
      </c>
      <c r="AT38" s="467">
        <f>+Mitgl!AT23</f>
        <v>0</v>
      </c>
      <c r="AU38" s="467">
        <f>+Mitgl!AU23</f>
        <v>0</v>
      </c>
      <c r="AV38" s="474">
        <f>SUM(AJ38)</f>
        <v>0</v>
      </c>
      <c r="AW38" s="465"/>
      <c r="AX38" s="467">
        <f>+Mitgl!AX23</f>
        <v>0</v>
      </c>
      <c r="AY38" s="467">
        <f>+Mitgl!AY23</f>
        <v>0</v>
      </c>
      <c r="AZ38" s="467">
        <f>+Mitgl!AZ23</f>
        <v>0</v>
      </c>
      <c r="BA38" s="467">
        <f>+Mitgl!BA23</f>
        <v>0</v>
      </c>
      <c r="BB38" s="467">
        <f>+Mitgl!BB23</f>
        <v>0</v>
      </c>
      <c r="BC38" s="467">
        <f>+Mitgl!BC23</f>
        <v>0</v>
      </c>
      <c r="BD38" s="467">
        <f>+Mitgl!BD23</f>
        <v>0</v>
      </c>
      <c r="BE38" s="467">
        <f>+Mitgl!BE23</f>
        <v>0</v>
      </c>
      <c r="BF38" s="467">
        <f>+Mitgl!BF23</f>
        <v>0</v>
      </c>
      <c r="BG38" s="467">
        <f>+Mitgl!BG23</f>
        <v>0</v>
      </c>
      <c r="BH38" s="467">
        <f>+Mitgl!BH23</f>
        <v>0</v>
      </c>
      <c r="BI38" s="467">
        <f>+Mitgl!BI23</f>
        <v>0</v>
      </c>
      <c r="BJ38" s="475">
        <f>SUM(AX38:BI38)</f>
        <v>0</v>
      </c>
      <c r="BK38" s="465"/>
      <c r="BL38" s="467">
        <f>+Mitgl!BL23</f>
        <v>0</v>
      </c>
      <c r="BM38" s="467">
        <f>+Mitgl!BM23</f>
        <v>0</v>
      </c>
      <c r="BN38" s="467">
        <f>+Mitgl!BN23</f>
        <v>0</v>
      </c>
      <c r="BO38" s="467">
        <f>+Mitgl!BO23</f>
        <v>0</v>
      </c>
      <c r="BP38" s="467">
        <f>+Mitgl!BP23</f>
        <v>0</v>
      </c>
      <c r="BQ38" s="467">
        <f>+Mitgl!BQ23</f>
        <v>0</v>
      </c>
      <c r="BR38" s="467">
        <f>+Mitgl!BR23</f>
        <v>0</v>
      </c>
      <c r="BS38" s="467">
        <f>+Mitgl!BS23</f>
        <v>0</v>
      </c>
      <c r="BT38" s="467">
        <f>+Mitgl!BT23</f>
        <v>0</v>
      </c>
      <c r="BU38" s="467">
        <f>+Mitgl!BU23</f>
        <v>0</v>
      </c>
      <c r="BV38" s="467">
        <f>+Mitgl!BV23</f>
        <v>0</v>
      </c>
      <c r="BW38" s="467">
        <f>+Mitgl!BW23</f>
        <v>0</v>
      </c>
      <c r="BX38" s="476">
        <f>SUM(BL38:BW38)</f>
        <v>0</v>
      </c>
      <c r="BY38" s="465"/>
      <c r="BZ38" s="467">
        <f>+Mitgl!BZ23</f>
        <v>0</v>
      </c>
      <c r="CA38" s="467">
        <f>+Mitgl!CA23</f>
        <v>0</v>
      </c>
      <c r="CB38" s="467">
        <f>+Mitgl!CB23</f>
        <v>0</v>
      </c>
      <c r="CC38" s="467">
        <f>+Mitgl!CC23</f>
        <v>0</v>
      </c>
      <c r="CD38" s="467">
        <f>+Mitgl!CD23</f>
        <v>0</v>
      </c>
      <c r="CE38" s="467">
        <f>+Mitgl!CE23</f>
        <v>0</v>
      </c>
      <c r="CF38" s="467">
        <f>+Mitgl!CF23</f>
        <v>0</v>
      </c>
      <c r="CG38" s="467">
        <f>+Mitgl!CG23</f>
        <v>0</v>
      </c>
      <c r="CH38" s="467">
        <f>+Mitgl!CH23</f>
        <v>0</v>
      </c>
      <c r="CI38" s="467">
        <f>+Mitgl!CI23</f>
        <v>0</v>
      </c>
      <c r="CJ38" s="467">
        <f>+Mitgl!CJ23</f>
        <v>0</v>
      </c>
      <c r="CK38" s="467">
        <f>+Mitgl!CK23</f>
        <v>0</v>
      </c>
      <c r="CL38" s="476">
        <f>SUM(BZ38:CK38)</f>
        <v>0</v>
      </c>
      <c r="CM38" s="465"/>
      <c r="CN38" s="467">
        <f>+Mitgl!CN23</f>
        <v>0</v>
      </c>
      <c r="CO38" s="467">
        <f>+Mitgl!CO23</f>
        <v>0</v>
      </c>
      <c r="CP38" s="467">
        <f>+Mitgl!CP23</f>
        <v>0</v>
      </c>
      <c r="CQ38" s="467">
        <f>+Mitgl!CQ23</f>
        <v>0</v>
      </c>
      <c r="CR38" s="467">
        <f>+Mitgl!CR23</f>
        <v>0</v>
      </c>
      <c r="CS38" s="467">
        <f>+Mitgl!CS23</f>
        <v>0</v>
      </c>
      <c r="CT38" s="467">
        <f>+Mitgl!CT23</f>
        <v>0</v>
      </c>
      <c r="CU38" s="467">
        <f>+Mitgl!CU23</f>
        <v>0</v>
      </c>
      <c r="CV38" s="467">
        <f>+Mitgl!CV23</f>
        <v>0</v>
      </c>
      <c r="CW38" s="467">
        <f>+Mitgl!CW23</f>
        <v>0</v>
      </c>
      <c r="CX38" s="467">
        <f>+Mitgl!CX23</f>
        <v>0</v>
      </c>
      <c r="CY38" s="467">
        <f>+Mitgl!CY23</f>
        <v>0</v>
      </c>
      <c r="CZ38" s="476">
        <f>SUM(CN38:CY38)</f>
        <v>0</v>
      </c>
    </row>
    <row r="39" spans="1:104 16374:16384" s="35" customFormat="1" ht="14.5" x14ac:dyDescent="0.4">
      <c r="A39" s="73"/>
      <c r="B39" s="493" t="str">
        <f>+Mitgl!B24</f>
        <v>Umsatzabhängige Spesen des Geldverkehrs inkl. USt. (Kreditkartengebühren)</v>
      </c>
      <c r="C39" s="493"/>
      <c r="D39" s="495">
        <f>+Mitgl!D24</f>
        <v>3.5000000000000001E-3</v>
      </c>
      <c r="E39" s="495"/>
      <c r="F39" s="304">
        <f>+Mitgl!F24</f>
        <v>0</v>
      </c>
      <c r="G39" s="496">
        <f>F39</f>
        <v>0</v>
      </c>
      <c r="H39" s="498">
        <f>+Mitgl!H24</f>
        <v>0</v>
      </c>
      <c r="I39" s="498">
        <f>+Mitgl!I24</f>
        <v>0</v>
      </c>
      <c r="J39" s="498">
        <f>+Mitgl!J24</f>
        <v>0</v>
      </c>
      <c r="K39" s="498">
        <f>+Mitgl!K24</f>
        <v>0</v>
      </c>
      <c r="L39" s="498">
        <f>+Mitgl!L24</f>
        <v>0</v>
      </c>
      <c r="M39" s="498">
        <f>+Mitgl!M24</f>
        <v>0</v>
      </c>
      <c r="N39" s="498">
        <f>+Mitgl!N24</f>
        <v>0</v>
      </c>
      <c r="O39" s="498">
        <f>+Mitgl!O24</f>
        <v>0</v>
      </c>
      <c r="P39" s="498">
        <f>+Mitgl!P24</f>
        <v>0</v>
      </c>
      <c r="Q39" s="498">
        <f>+Mitgl!Q24</f>
        <v>0</v>
      </c>
      <c r="R39" s="498">
        <f>+Mitgl!R24</f>
        <v>0</v>
      </c>
      <c r="S39" s="498">
        <f>+Mitgl!S24</f>
        <v>0</v>
      </c>
      <c r="T39" s="499">
        <f>SUM(F39:S39)</f>
        <v>0</v>
      </c>
      <c r="U39" s="467"/>
      <c r="V39" s="467">
        <f>+Mitgl!V24</f>
        <v>0</v>
      </c>
      <c r="W39" s="467">
        <f>+Mitgl!W24</f>
        <v>0</v>
      </c>
      <c r="X39" s="467">
        <f>+Mitgl!X24</f>
        <v>0</v>
      </c>
      <c r="Y39" s="467">
        <f>+Mitgl!Y24</f>
        <v>0</v>
      </c>
      <c r="Z39" s="467">
        <f>+Mitgl!Z24</f>
        <v>0</v>
      </c>
      <c r="AA39" s="467">
        <f>+Mitgl!AA24</f>
        <v>0</v>
      </c>
      <c r="AB39" s="467">
        <f>+Mitgl!AB24</f>
        <v>0</v>
      </c>
      <c r="AC39" s="467">
        <f>+Mitgl!AC24</f>
        <v>0</v>
      </c>
      <c r="AD39" s="467">
        <f>+Mitgl!AD24</f>
        <v>283.45363199999997</v>
      </c>
      <c r="AE39" s="467">
        <f>+Mitgl!AE24</f>
        <v>326.17804799999999</v>
      </c>
      <c r="AF39" s="467">
        <f>+Mitgl!AF24</f>
        <v>406.04928000000012</v>
      </c>
      <c r="AG39" s="467">
        <f>+Mitgl!AG24</f>
        <v>349.82707200000004</v>
      </c>
      <c r="AH39" s="473">
        <f>SUM(V39:AG39)</f>
        <v>1365.5080320000002</v>
      </c>
      <c r="AI39" s="465"/>
      <c r="AJ39" s="467">
        <f>+Mitgl!AJ24</f>
        <v>351.78312295231103</v>
      </c>
      <c r="AK39" s="467">
        <f>+Mitgl!AK24</f>
        <v>394.4124719497558</v>
      </c>
      <c r="AL39" s="467">
        <f>+Mitgl!AL24</f>
        <v>413.33130438323354</v>
      </c>
      <c r="AM39" s="467">
        <f>+Mitgl!AM24</f>
        <v>448.68222045877764</v>
      </c>
      <c r="AN39" s="467">
        <f>+Mitgl!AN24</f>
        <v>456.11331054545457</v>
      </c>
      <c r="AO39" s="467">
        <f>+Mitgl!AO24</f>
        <v>437.36286181727161</v>
      </c>
      <c r="AP39" s="467">
        <f>+Mitgl!AP24</f>
        <v>442.79354998890949</v>
      </c>
      <c r="AQ39" s="467">
        <f>+Mitgl!AQ24</f>
        <v>493.27542790562615</v>
      </c>
      <c r="AR39" s="467">
        <f>+Mitgl!AR24</f>
        <v>507.49873257412889</v>
      </c>
      <c r="AS39" s="467">
        <f>+Mitgl!AS24</f>
        <v>547.55281176595508</v>
      </c>
      <c r="AT39" s="467">
        <f>+Mitgl!AT24</f>
        <v>658.263444467005</v>
      </c>
      <c r="AU39" s="467">
        <f>+Mitgl!AU24</f>
        <v>554.38323186688854</v>
      </c>
      <c r="AV39" s="474">
        <f>SUM(AJ39:AU39)</f>
        <v>5705.4524906753168</v>
      </c>
      <c r="AW39" s="465"/>
      <c r="AX39" s="467">
        <f>+Mitgl!AX24</f>
        <v>578.28068643037193</v>
      </c>
      <c r="AY39" s="467">
        <f>+Mitgl!AY24</f>
        <v>601.71867416418786</v>
      </c>
      <c r="AZ39" s="467">
        <f>+Mitgl!AZ24</f>
        <v>631.8253459997444</v>
      </c>
      <c r="BA39" s="467">
        <f>+Mitgl!BA24</f>
        <v>636.13390309269994</v>
      </c>
      <c r="BB39" s="467">
        <f>+Mitgl!BB24</f>
        <v>636.31470620240657</v>
      </c>
      <c r="BC39" s="467">
        <f>+Mitgl!BC24</f>
        <v>602.05445242494636</v>
      </c>
      <c r="BD39" s="467">
        <f>+Mitgl!BD24</f>
        <v>606.13241491818007</v>
      </c>
      <c r="BE39" s="467">
        <f>+Mitgl!BE24</f>
        <v>670.98193469308046</v>
      </c>
      <c r="BF39" s="467">
        <f>+Mitgl!BF24</f>
        <v>682.55213369538444</v>
      </c>
      <c r="BG39" s="467">
        <f>+Mitgl!BG24</f>
        <v>723.57702278072679</v>
      </c>
      <c r="BH39" s="467">
        <f>+Mitgl!BH24</f>
        <v>855.40927355688154</v>
      </c>
      <c r="BI39" s="467">
        <f>+Mitgl!BI24</f>
        <v>710.05701063075605</v>
      </c>
      <c r="BJ39" s="475">
        <f>SUM(AX39:BI39)</f>
        <v>7935.0375585893662</v>
      </c>
      <c r="BK39" s="465"/>
      <c r="BL39" s="467">
        <f>+Mitgl!BL24</f>
        <v>732.81039924360346</v>
      </c>
      <c r="BM39" s="467">
        <f>+Mitgl!BM24</f>
        <v>755.07435689762031</v>
      </c>
      <c r="BN39" s="467">
        <f>+Mitgl!BN24</f>
        <v>785.32879666511735</v>
      </c>
      <c r="BO39" s="467">
        <f>+Mitgl!BO24</f>
        <v>783.37835002233794</v>
      </c>
      <c r="BP39" s="467">
        <f>+Mitgl!BP24</f>
        <v>776.54999513890925</v>
      </c>
      <c r="BQ39" s="467">
        <f>+Mitgl!BQ24</f>
        <v>728.29846889989608</v>
      </c>
      <c r="BR39" s="467">
        <f>+Mitgl!BR24</f>
        <v>726.96763202700026</v>
      </c>
      <c r="BS39" s="467">
        <f>+Mitgl!BS24</f>
        <v>798.04313129431591</v>
      </c>
      <c r="BT39" s="467">
        <f>+Mitgl!BT24</f>
        <v>805.21121600531899</v>
      </c>
      <c r="BU39" s="467">
        <f>+Mitgl!BU24</f>
        <v>846.84574441737243</v>
      </c>
      <c r="BV39" s="467">
        <f>+Mitgl!BV24</f>
        <v>993.39724099555553</v>
      </c>
      <c r="BW39" s="467">
        <f>+Mitgl!BW24</f>
        <v>818.37530832433117</v>
      </c>
      <c r="BX39" s="476">
        <f>SUM(BL39:BW39)</f>
        <v>9550.2806399313795</v>
      </c>
      <c r="BY39" s="465"/>
      <c r="BZ39" s="169">
        <f t="shared" ref="BZ39" si="116">BW39*(1+$BY$2)</f>
        <v>841.28981695741243</v>
      </c>
      <c r="CA39" s="467">
        <f>+Mitgl!CA24</f>
        <v>841.07781223134634</v>
      </c>
      <c r="CB39" s="467">
        <f>+Mitgl!CB24</f>
        <v>873.96086112668058</v>
      </c>
      <c r="CC39" s="467">
        <f>+Mitgl!CC24</f>
        <v>870.98942161113655</v>
      </c>
      <c r="CD39" s="467">
        <f>+Mitgl!CD24</f>
        <v>862.61750935548116</v>
      </c>
      <c r="CE39" s="467">
        <f>+Mitgl!CE24</f>
        <v>808.29946489090275</v>
      </c>
      <c r="CF39" s="467">
        <f>+Mitgl!CF24</f>
        <v>806.11753954938695</v>
      </c>
      <c r="CG39" s="467">
        <f>+Mitgl!CG24</f>
        <v>884.17099447946066</v>
      </c>
      <c r="CH39" s="467">
        <f>+Mitgl!CH24</f>
        <v>891.35842046864525</v>
      </c>
      <c r="CI39" s="467">
        <f>+Mitgl!CI24</f>
        <v>936.66745383138652</v>
      </c>
      <c r="CJ39" s="467">
        <f>+Mitgl!CJ24</f>
        <v>1097.8636451341176</v>
      </c>
      <c r="CK39" s="467">
        <f>+Mitgl!CK24</f>
        <v>903.70761020601208</v>
      </c>
      <c r="CL39" s="476">
        <f>SUM(BZ39:CK39)</f>
        <v>10618.120549841968</v>
      </c>
      <c r="CM39" s="465"/>
      <c r="CN39" s="467">
        <f>+Mitgl!CN24</f>
        <v>901.53374485586448</v>
      </c>
      <c r="CO39" s="467">
        <f>+Mitgl!CO24</f>
        <v>927.31634215659221</v>
      </c>
      <c r="CP39" s="467">
        <f>+Mitgl!CP24</f>
        <v>962.83045349902409</v>
      </c>
      <c r="CQ39" s="467">
        <f>+Mitgl!CQ24</f>
        <v>958.83072946731238</v>
      </c>
      <c r="CR39" s="467">
        <f>+Mitgl!CR24</f>
        <v>948.90684380799985</v>
      </c>
      <c r="CS39" s="467">
        <f>+Mitgl!CS24</f>
        <v>888.50269755156762</v>
      </c>
      <c r="CT39" s="467">
        <f>+Mitgl!CT24</f>
        <v>885.46372535181331</v>
      </c>
      <c r="CU39" s="467">
        <f>+Mitgl!CU24</f>
        <v>970.50840243043911</v>
      </c>
      <c r="CV39" s="467">
        <f>+Mitgl!CV24</f>
        <v>977.71127977030949</v>
      </c>
      <c r="CW39" s="467">
        <f>+Mitgl!CW24</f>
        <v>1026.6995877188779</v>
      </c>
      <c r="CX39" s="467">
        <f>+Mitgl!CX24</f>
        <v>1202.5702424591782</v>
      </c>
      <c r="CY39" s="467">
        <f>+Mitgl!CY24</f>
        <v>989.2324950450128</v>
      </c>
      <c r="CZ39" s="476">
        <f>SUM(CN39:CY39)</f>
        <v>11640.106544113991</v>
      </c>
      <c r="XET39" s="30"/>
      <c r="XEU39" s="30"/>
      <c r="XEV39" s="30"/>
      <c r="XEW39" s="30"/>
      <c r="XEX39" s="30"/>
      <c r="XEY39" s="30"/>
      <c r="XEZ39" s="30"/>
      <c r="XFA39" s="30"/>
      <c r="XFB39" s="30"/>
      <c r="XFC39" s="30"/>
      <c r="XFD39" s="30"/>
    </row>
    <row r="40" spans="1:104 16374:16384" ht="14.5" x14ac:dyDescent="0.4">
      <c r="B40" s="477" t="str">
        <f>+Mitgl!B25</f>
        <v>umsatzabhängiger Aufwand inkl. USt.</v>
      </c>
      <c r="C40" s="313"/>
      <c r="D40" s="360"/>
      <c r="F40" s="500">
        <f>SUM(F38:F39)</f>
        <v>0</v>
      </c>
      <c r="G40" s="501">
        <f>F40</f>
        <v>0</v>
      </c>
      <c r="H40" s="500">
        <f t="shared" ref="H40:S40" si="117">SUM(H38:H39)</f>
        <v>0</v>
      </c>
      <c r="I40" s="500">
        <f t="shared" si="117"/>
        <v>0</v>
      </c>
      <c r="J40" s="500">
        <f t="shared" si="117"/>
        <v>0</v>
      </c>
      <c r="K40" s="500">
        <f t="shared" si="117"/>
        <v>0</v>
      </c>
      <c r="L40" s="500">
        <f t="shared" si="117"/>
        <v>0</v>
      </c>
      <c r="M40" s="500">
        <f t="shared" si="117"/>
        <v>0</v>
      </c>
      <c r="N40" s="500">
        <f t="shared" si="117"/>
        <v>0</v>
      </c>
      <c r="O40" s="500">
        <f t="shared" si="117"/>
        <v>0</v>
      </c>
      <c r="P40" s="500">
        <f t="shared" si="117"/>
        <v>0</v>
      </c>
      <c r="Q40" s="500">
        <f t="shared" si="117"/>
        <v>0</v>
      </c>
      <c r="R40" s="500">
        <f t="shared" si="117"/>
        <v>0</v>
      </c>
      <c r="S40" s="502">
        <f t="shared" si="117"/>
        <v>0</v>
      </c>
      <c r="T40" s="503">
        <f>SUM(F40)</f>
        <v>0</v>
      </c>
      <c r="U40" s="504"/>
      <c r="V40" s="480">
        <f t="shared" ref="V40:AG40" si="118">SUM(V38:V39)</f>
        <v>0</v>
      </c>
      <c r="W40" s="480">
        <f t="shared" si="118"/>
        <v>0</v>
      </c>
      <c r="X40" s="480">
        <f t="shared" si="118"/>
        <v>0</v>
      </c>
      <c r="Y40" s="480">
        <f t="shared" si="118"/>
        <v>0</v>
      </c>
      <c r="Z40" s="480">
        <f t="shared" si="118"/>
        <v>0</v>
      </c>
      <c r="AA40" s="480">
        <f t="shared" si="118"/>
        <v>0</v>
      </c>
      <c r="AB40" s="480">
        <f t="shared" si="118"/>
        <v>0</v>
      </c>
      <c r="AC40" s="480">
        <f t="shared" si="118"/>
        <v>0</v>
      </c>
      <c r="AD40" s="480">
        <f t="shared" si="118"/>
        <v>283.45363199999997</v>
      </c>
      <c r="AE40" s="480">
        <f t="shared" si="118"/>
        <v>326.17804799999999</v>
      </c>
      <c r="AF40" s="480">
        <f t="shared" si="118"/>
        <v>406.04928000000012</v>
      </c>
      <c r="AG40" s="480">
        <f t="shared" si="118"/>
        <v>349.82707200000004</v>
      </c>
      <c r="AH40" s="245">
        <f>SUM(V40:AG40)</f>
        <v>1365.5080320000002</v>
      </c>
      <c r="AI40" s="504"/>
      <c r="AJ40" s="480">
        <f t="shared" ref="AJ40:AU40" si="119">SUM(AJ38:AJ39)</f>
        <v>351.78312295231103</v>
      </c>
      <c r="AK40" s="480">
        <f t="shared" si="119"/>
        <v>394.4124719497558</v>
      </c>
      <c r="AL40" s="480">
        <f t="shared" si="119"/>
        <v>413.33130438323354</v>
      </c>
      <c r="AM40" s="480">
        <f t="shared" si="119"/>
        <v>448.68222045877764</v>
      </c>
      <c r="AN40" s="480">
        <f t="shared" si="119"/>
        <v>456.11331054545457</v>
      </c>
      <c r="AO40" s="480">
        <f t="shared" si="119"/>
        <v>437.36286181727161</v>
      </c>
      <c r="AP40" s="480">
        <f t="shared" si="119"/>
        <v>442.79354998890949</v>
      </c>
      <c r="AQ40" s="480">
        <f t="shared" si="119"/>
        <v>493.27542790562615</v>
      </c>
      <c r="AR40" s="480">
        <f t="shared" si="119"/>
        <v>507.49873257412889</v>
      </c>
      <c r="AS40" s="480">
        <f t="shared" si="119"/>
        <v>547.55281176595508</v>
      </c>
      <c r="AT40" s="480">
        <f t="shared" si="119"/>
        <v>658.263444467005</v>
      </c>
      <c r="AU40" s="480">
        <f t="shared" si="119"/>
        <v>554.38323186688854</v>
      </c>
      <c r="AV40" s="248">
        <f>SUM(AJ40:AU40)</f>
        <v>5705.4524906753168</v>
      </c>
      <c r="AW40" s="504"/>
      <c r="AX40" s="480">
        <f t="shared" ref="AX40:BI40" si="120">SUM(AX38:AX39)</f>
        <v>578.28068643037193</v>
      </c>
      <c r="AY40" s="480">
        <f t="shared" si="120"/>
        <v>601.71867416418786</v>
      </c>
      <c r="AZ40" s="480">
        <f t="shared" si="120"/>
        <v>631.8253459997444</v>
      </c>
      <c r="BA40" s="480">
        <f t="shared" si="120"/>
        <v>636.13390309269994</v>
      </c>
      <c r="BB40" s="480">
        <f t="shared" si="120"/>
        <v>636.31470620240657</v>
      </c>
      <c r="BC40" s="480">
        <f t="shared" si="120"/>
        <v>602.05445242494636</v>
      </c>
      <c r="BD40" s="480">
        <f t="shared" si="120"/>
        <v>606.13241491818007</v>
      </c>
      <c r="BE40" s="480">
        <f t="shared" si="120"/>
        <v>670.98193469308046</v>
      </c>
      <c r="BF40" s="480">
        <f t="shared" si="120"/>
        <v>682.55213369538444</v>
      </c>
      <c r="BG40" s="480">
        <f t="shared" si="120"/>
        <v>723.57702278072679</v>
      </c>
      <c r="BH40" s="480">
        <f t="shared" si="120"/>
        <v>855.40927355688154</v>
      </c>
      <c r="BI40" s="480">
        <f t="shared" si="120"/>
        <v>710.05701063075605</v>
      </c>
      <c r="BJ40" s="483">
        <f>SUM(AX40:BI40)</f>
        <v>7935.0375585893662</v>
      </c>
      <c r="BK40" s="504"/>
      <c r="BL40" s="480">
        <f t="shared" ref="BL40:BW40" si="121">SUM(BL38:BL39)</f>
        <v>732.81039924360346</v>
      </c>
      <c r="BM40" s="480">
        <f t="shared" si="121"/>
        <v>755.07435689762031</v>
      </c>
      <c r="BN40" s="480">
        <f t="shared" si="121"/>
        <v>785.32879666511735</v>
      </c>
      <c r="BO40" s="480">
        <f t="shared" si="121"/>
        <v>783.37835002233794</v>
      </c>
      <c r="BP40" s="480">
        <f t="shared" si="121"/>
        <v>776.54999513890925</v>
      </c>
      <c r="BQ40" s="480">
        <f t="shared" si="121"/>
        <v>728.29846889989608</v>
      </c>
      <c r="BR40" s="480">
        <f t="shared" si="121"/>
        <v>726.96763202700026</v>
      </c>
      <c r="BS40" s="480">
        <f t="shared" si="121"/>
        <v>798.04313129431591</v>
      </c>
      <c r="BT40" s="480">
        <f t="shared" si="121"/>
        <v>805.21121600531899</v>
      </c>
      <c r="BU40" s="480">
        <f t="shared" si="121"/>
        <v>846.84574441737243</v>
      </c>
      <c r="BV40" s="480">
        <f t="shared" si="121"/>
        <v>993.39724099555553</v>
      </c>
      <c r="BW40" s="480">
        <f t="shared" si="121"/>
        <v>818.37530832433117</v>
      </c>
      <c r="BX40" s="484">
        <f>SUM(BL40:BW40)</f>
        <v>9550.2806399313795</v>
      </c>
      <c r="BY40" s="504"/>
      <c r="BZ40" s="480">
        <f t="shared" ref="BZ40:CK40" si="122">SUM(BZ38:BZ39)</f>
        <v>841.28981695741243</v>
      </c>
      <c r="CA40" s="480">
        <f t="shared" si="122"/>
        <v>841.07781223134634</v>
      </c>
      <c r="CB40" s="480">
        <f t="shared" si="122"/>
        <v>873.96086112668058</v>
      </c>
      <c r="CC40" s="480">
        <f t="shared" si="122"/>
        <v>870.98942161113655</v>
      </c>
      <c r="CD40" s="480">
        <f t="shared" si="122"/>
        <v>862.61750935548116</v>
      </c>
      <c r="CE40" s="480">
        <f t="shared" si="122"/>
        <v>808.29946489090275</v>
      </c>
      <c r="CF40" s="480">
        <f t="shared" si="122"/>
        <v>806.11753954938695</v>
      </c>
      <c r="CG40" s="480">
        <f t="shared" si="122"/>
        <v>884.17099447946066</v>
      </c>
      <c r="CH40" s="480">
        <f t="shared" si="122"/>
        <v>891.35842046864525</v>
      </c>
      <c r="CI40" s="480">
        <f t="shared" si="122"/>
        <v>936.66745383138652</v>
      </c>
      <c r="CJ40" s="480">
        <f t="shared" si="122"/>
        <v>1097.8636451341176</v>
      </c>
      <c r="CK40" s="480">
        <f t="shared" si="122"/>
        <v>903.70761020601208</v>
      </c>
      <c r="CL40" s="484">
        <f>SUM(BZ40:CK40)</f>
        <v>10618.120549841968</v>
      </c>
      <c r="CM40" s="504"/>
      <c r="CN40" s="480">
        <f t="shared" ref="CN40:CY40" si="123">SUM(CN38:CN39)</f>
        <v>901.53374485586448</v>
      </c>
      <c r="CO40" s="480">
        <f t="shared" si="123"/>
        <v>927.31634215659221</v>
      </c>
      <c r="CP40" s="480">
        <f t="shared" si="123"/>
        <v>962.83045349902409</v>
      </c>
      <c r="CQ40" s="480">
        <f t="shared" si="123"/>
        <v>958.83072946731238</v>
      </c>
      <c r="CR40" s="480">
        <f t="shared" si="123"/>
        <v>948.90684380799985</v>
      </c>
      <c r="CS40" s="480">
        <f t="shared" si="123"/>
        <v>888.50269755156762</v>
      </c>
      <c r="CT40" s="480">
        <f t="shared" si="123"/>
        <v>885.46372535181331</v>
      </c>
      <c r="CU40" s="480">
        <f t="shared" si="123"/>
        <v>970.50840243043911</v>
      </c>
      <c r="CV40" s="480">
        <f t="shared" si="123"/>
        <v>977.71127977030949</v>
      </c>
      <c r="CW40" s="480">
        <f t="shared" si="123"/>
        <v>1026.6995877188779</v>
      </c>
      <c r="CX40" s="480">
        <f t="shared" si="123"/>
        <v>1202.5702424591782</v>
      </c>
      <c r="CY40" s="480">
        <f t="shared" si="123"/>
        <v>989.2324950450128</v>
      </c>
      <c r="CZ40" s="484">
        <f>SUM(CN40:CY40)</f>
        <v>11640.106544113991</v>
      </c>
    </row>
    <row r="41" spans="1:104 16374:16384" ht="14.5" x14ac:dyDescent="0.4">
      <c r="B41" s="251"/>
      <c r="C41" s="251"/>
      <c r="D41" s="195"/>
      <c r="E41" s="485"/>
      <c r="F41" s="505"/>
      <c r="G41" s="506"/>
      <c r="H41" s="505"/>
      <c r="I41" s="505"/>
      <c r="J41" s="505"/>
      <c r="K41" s="505"/>
      <c r="L41" s="505"/>
      <c r="M41" s="505"/>
      <c r="N41" s="505"/>
      <c r="O41" s="505"/>
      <c r="P41" s="505"/>
      <c r="Q41" s="505"/>
      <c r="R41" s="505"/>
      <c r="S41" s="505"/>
      <c r="T41" s="198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221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223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507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508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508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  <c r="CZ41" s="508"/>
    </row>
    <row r="42" spans="1:104 16374:16384" ht="14.5" x14ac:dyDescent="0.4">
      <c r="B42" s="509" t="s">
        <v>558</v>
      </c>
      <c r="C42" s="510"/>
      <c r="D42" s="510"/>
      <c r="E42" s="510"/>
      <c r="F42" s="511"/>
      <c r="G42" s="511"/>
      <c r="H42" s="512" t="s">
        <v>547</v>
      </c>
      <c r="I42" s="512">
        <f t="shared" ref="I42:T42" si="124">+I7+I13+I35+I40</f>
        <v>2482.39</v>
      </c>
      <c r="J42" s="512">
        <f t="shared" si="124"/>
        <v>0</v>
      </c>
      <c r="K42" s="512">
        <f t="shared" si="124"/>
        <v>2711.4</v>
      </c>
      <c r="L42" s="512">
        <f t="shared" si="124"/>
        <v>8817.14</v>
      </c>
      <c r="M42" s="512">
        <f t="shared" si="124"/>
        <v>26911.77103896104</v>
      </c>
      <c r="N42" s="512">
        <f t="shared" si="124"/>
        <v>7719.62</v>
      </c>
      <c r="O42" s="512">
        <f t="shared" si="124"/>
        <v>13917.31</v>
      </c>
      <c r="P42" s="512">
        <f t="shared" si="124"/>
        <v>13119.619999999999</v>
      </c>
      <c r="Q42" s="512">
        <f t="shared" si="124"/>
        <v>18739.439999999999</v>
      </c>
      <c r="R42" s="512">
        <f t="shared" si="124"/>
        <v>11845.07</v>
      </c>
      <c r="S42" s="512">
        <f t="shared" si="124"/>
        <v>77261.914600000004</v>
      </c>
      <c r="T42" s="513">
        <f t="shared" si="124"/>
        <v>191119.20563896105</v>
      </c>
      <c r="U42" s="511"/>
      <c r="V42" s="512">
        <f t="shared" ref="V42:AH42" si="125">+V7+V13+V35+V40</f>
        <v>16123.902034631992</v>
      </c>
      <c r="W42" s="512">
        <f t="shared" si="125"/>
        <v>14251.902034631992</v>
      </c>
      <c r="X42" s="512">
        <f t="shared" si="125"/>
        <v>28039.242034631992</v>
      </c>
      <c r="Y42" s="512">
        <f t="shared" si="125"/>
        <v>22191.782034631993</v>
      </c>
      <c r="Z42" s="512">
        <f t="shared" si="125"/>
        <v>40572.649177489191</v>
      </c>
      <c r="AA42" s="512">
        <f t="shared" si="125"/>
        <v>28578.258008657995</v>
      </c>
      <c r="AB42" s="512">
        <f t="shared" si="125"/>
        <v>26248.178008657997</v>
      </c>
      <c r="AC42" s="512">
        <f t="shared" si="125"/>
        <v>32146.391515151485</v>
      </c>
      <c r="AD42" s="512">
        <f t="shared" si="125"/>
        <v>37767.412679619018</v>
      </c>
      <c r="AE42" s="512">
        <f t="shared" si="125"/>
        <v>50122.895786095221</v>
      </c>
      <c r="AF42" s="512">
        <f t="shared" si="125"/>
        <v>34542.548327619021</v>
      </c>
      <c r="AG42" s="512">
        <f t="shared" si="125"/>
        <v>34831.508327411226</v>
      </c>
      <c r="AH42" s="513">
        <f t="shared" si="125"/>
        <v>365416.66996922909</v>
      </c>
      <c r="AI42" s="511"/>
      <c r="AJ42" s="512">
        <f t="shared" ref="AJ42:AV42" si="126">+AJ7+AJ13+AJ35+AJ40</f>
        <v>36389.458963601632</v>
      </c>
      <c r="AK42" s="512">
        <f t="shared" si="126"/>
        <v>35500.688312599079</v>
      </c>
      <c r="AL42" s="512">
        <f t="shared" si="126"/>
        <v>39735.067145032554</v>
      </c>
      <c r="AM42" s="512">
        <f t="shared" si="126"/>
        <v>34554.958061108104</v>
      </c>
      <c r="AN42" s="512">
        <f t="shared" si="126"/>
        <v>60120.462426909027</v>
      </c>
      <c r="AO42" s="512">
        <f t="shared" si="126"/>
        <v>34751.098702466596</v>
      </c>
      <c r="AP42" s="512">
        <f t="shared" si="126"/>
        <v>34049.069390638229</v>
      </c>
      <c r="AQ42" s="512">
        <f t="shared" si="126"/>
        <v>35099.551268554947</v>
      </c>
      <c r="AR42" s="512">
        <f t="shared" si="126"/>
        <v>35829.234573223453</v>
      </c>
      <c r="AS42" s="512">
        <f t="shared" si="126"/>
        <v>53310.401928129526</v>
      </c>
      <c r="AT42" s="512">
        <f t="shared" si="126"/>
        <v>35264.539285116327</v>
      </c>
      <c r="AU42" s="512">
        <f t="shared" si="126"/>
        <v>34889.342872516208</v>
      </c>
      <c r="AV42" s="513">
        <f t="shared" si="126"/>
        <v>469493.87292989559</v>
      </c>
      <c r="AW42" s="511"/>
      <c r="AX42" s="512">
        <f t="shared" ref="AX42:BJ42" si="127">+AX7+AX13+AX35+AX40</f>
        <v>37815.793177883272</v>
      </c>
      <c r="AY42" s="512">
        <f t="shared" si="127"/>
        <v>35853.831165617084</v>
      </c>
      <c r="AZ42" s="512">
        <f t="shared" si="127"/>
        <v>37900.726887452642</v>
      </c>
      <c r="BA42" s="512">
        <f t="shared" si="127"/>
        <v>36138.351644545597</v>
      </c>
      <c r="BB42" s="512">
        <f t="shared" si="127"/>
        <v>63188.218013783531</v>
      </c>
      <c r="BC42" s="512">
        <f t="shared" si="127"/>
        <v>36832.955993877848</v>
      </c>
      <c r="BD42" s="512">
        <f t="shared" si="127"/>
        <v>36112.647558968478</v>
      </c>
      <c r="BE42" s="512">
        <f t="shared" si="127"/>
        <v>40368.897078743379</v>
      </c>
      <c r="BF42" s="512">
        <f t="shared" si="127"/>
        <v>37955.751077745677</v>
      </c>
      <c r="BG42" s="512">
        <f t="shared" si="127"/>
        <v>57213.277732959257</v>
      </c>
      <c r="BH42" s="512">
        <f t="shared" si="127"/>
        <v>36361.924417607181</v>
      </c>
      <c r="BI42" s="512">
        <f t="shared" si="127"/>
        <v>36965.659101081059</v>
      </c>
      <c r="BJ42" s="513">
        <f t="shared" si="127"/>
        <v>492708.03385026503</v>
      </c>
      <c r="BK42" s="511"/>
      <c r="BL42" s="512">
        <f t="shared" ref="BL42:BX42" si="128">+BL7+BL13+BL35+BL40</f>
        <v>38620.5349372333</v>
      </c>
      <c r="BM42" s="512">
        <f t="shared" si="128"/>
        <v>36606.998894887314</v>
      </c>
      <c r="BN42" s="512">
        <f t="shared" si="128"/>
        <v>38453.340281054814</v>
      </c>
      <c r="BO42" s="512">
        <f t="shared" si="128"/>
        <v>36635.302888012033</v>
      </c>
      <c r="BP42" s="512">
        <f t="shared" si="128"/>
        <v>63832.160099256827</v>
      </c>
      <c r="BQ42" s="512">
        <f t="shared" si="128"/>
        <v>37329.309953289594</v>
      </c>
      <c r="BR42" s="512">
        <f t="shared" si="128"/>
        <v>36578.892170016697</v>
      </c>
      <c r="BS42" s="512">
        <f t="shared" si="128"/>
        <v>36649.967669284015</v>
      </c>
      <c r="BT42" s="512">
        <f t="shared" si="128"/>
        <v>38473.222700395017</v>
      </c>
      <c r="BU42" s="512">
        <f t="shared" si="128"/>
        <v>57681.95584853529</v>
      </c>
      <c r="BV42" s="512">
        <f t="shared" si="128"/>
        <v>36845.32177898525</v>
      </c>
      <c r="BW42" s="512">
        <f t="shared" si="128"/>
        <v>37441.859401106027</v>
      </c>
      <c r="BX42" s="513">
        <f t="shared" si="128"/>
        <v>495148.86662205623</v>
      </c>
      <c r="BY42" s="511"/>
      <c r="BZ42" s="512">
        <f>+BZ7+BZ13+BZ35+BZ40</f>
        <v>41275.831489736323</v>
      </c>
      <c r="CA42" s="512">
        <f t="shared" ref="CA42:CL42" si="129">+CA7+CA13+CA35+CA40</f>
        <v>39182.817085010262</v>
      </c>
      <c r="CB42" s="512">
        <f t="shared" si="129"/>
        <v>39215.700133905593</v>
      </c>
      <c r="CC42" s="512">
        <f t="shared" si="129"/>
        <v>39212.728694390047</v>
      </c>
      <c r="CD42" s="512">
        <f t="shared" si="129"/>
        <v>67868.595369513525</v>
      </c>
      <c r="CE42" s="512">
        <f t="shared" si="129"/>
        <v>39150.038737669813</v>
      </c>
      <c r="CF42" s="512">
        <f t="shared" si="129"/>
        <v>39147.856812328297</v>
      </c>
      <c r="CG42" s="512">
        <f t="shared" si="129"/>
        <v>43630.110267258373</v>
      </c>
      <c r="CH42" s="512">
        <f t="shared" si="129"/>
        <v>39233.097693247561</v>
      </c>
      <c r="CI42" s="512">
        <f>+CI7+CI13+CI35+CI40</f>
        <v>61568.145313989444</v>
      </c>
      <c r="CJ42" s="512">
        <f t="shared" si="129"/>
        <v>39439.602917913027</v>
      </c>
      <c r="CK42" s="512">
        <f t="shared" si="129"/>
        <v>39245.446882984921</v>
      </c>
      <c r="CL42" s="513">
        <f t="shared" si="129"/>
        <v>528169.97139794729</v>
      </c>
      <c r="CM42" s="511"/>
      <c r="CN42" s="512">
        <f t="shared" ref="CN42:CZ42" si="130">+CN7+CN13+CN35+CN40</f>
        <v>42421.609917272588</v>
      </c>
      <c r="CO42" s="512">
        <f t="shared" si="130"/>
        <v>40310.792514573317</v>
      </c>
      <c r="CP42" s="512">
        <f t="shared" si="130"/>
        <v>40346.306625915749</v>
      </c>
      <c r="CQ42" s="512">
        <f t="shared" si="130"/>
        <v>40342.30690188404</v>
      </c>
      <c r="CR42" s="512">
        <f t="shared" si="130"/>
        <v>69774.734284050486</v>
      </c>
      <c r="CS42" s="512">
        <f t="shared" si="130"/>
        <v>40271.97886996829</v>
      </c>
      <c r="CT42" s="512">
        <f t="shared" si="130"/>
        <v>40268.939897768541</v>
      </c>
      <c r="CU42" s="512">
        <f t="shared" si="130"/>
        <v>40353.984574847163</v>
      </c>
      <c r="CV42" s="512">
        <f t="shared" si="130"/>
        <v>40361.187452187034</v>
      </c>
      <c r="CW42" s="512">
        <f t="shared" si="130"/>
        <v>63324.027027961361</v>
      </c>
      <c r="CX42" s="512">
        <f t="shared" si="130"/>
        <v>40586.046414875906</v>
      </c>
      <c r="CY42" s="512">
        <f t="shared" si="130"/>
        <v>40372.708667461739</v>
      </c>
      <c r="CZ42" s="513">
        <f t="shared" si="130"/>
        <v>538734.62314876611</v>
      </c>
    </row>
    <row r="43" spans="1:104 16374:16384" ht="14.5" x14ac:dyDescent="0.4">
      <c r="G43" s="357"/>
      <c r="T43" s="198"/>
      <c r="AH43" s="199"/>
      <c r="AV43" s="200"/>
      <c r="BJ43" s="358"/>
      <c r="BX43" s="359"/>
      <c r="CL43" s="359"/>
      <c r="CZ43" s="359"/>
    </row>
    <row r="44" spans="1:104 16374:16384" ht="14.5" x14ac:dyDescent="0.4">
      <c r="B44" s="139" t="s">
        <v>559</v>
      </c>
      <c r="C44" s="438"/>
      <c r="D44" s="438"/>
      <c r="E44" s="438"/>
      <c r="F44" s="268"/>
      <c r="G44" s="439"/>
      <c r="H44" s="268"/>
      <c r="I44" s="268"/>
      <c r="J44" s="268"/>
      <c r="K44" s="268"/>
      <c r="L44" s="268"/>
      <c r="M44" s="268"/>
      <c r="N44" s="268"/>
      <c r="O44" s="268"/>
      <c r="P44" s="268"/>
      <c r="Q44" s="268"/>
      <c r="R44" s="268"/>
      <c r="S44" s="268"/>
      <c r="T44" s="369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371"/>
      <c r="AI44" s="268"/>
      <c r="AJ44" s="268"/>
      <c r="AK44" s="268"/>
      <c r="AL44" s="268"/>
      <c r="AM44" s="268"/>
      <c r="AN44" s="268"/>
      <c r="AO44" s="268"/>
      <c r="AP44" s="268"/>
      <c r="AQ44" s="268"/>
      <c r="AR44" s="268"/>
      <c r="AS44" s="268"/>
      <c r="AT44" s="268"/>
      <c r="AU44" s="268"/>
      <c r="AV44" s="372"/>
      <c r="AW44" s="268"/>
      <c r="AX44" s="268"/>
      <c r="AY44" s="268"/>
      <c r="AZ44" s="268"/>
      <c r="BA44" s="268"/>
      <c r="BB44" s="268"/>
      <c r="BC44" s="268"/>
      <c r="BD44" s="268"/>
      <c r="BE44" s="268"/>
      <c r="BF44" s="268"/>
      <c r="BG44" s="268"/>
      <c r="BH44" s="268"/>
      <c r="BI44" s="268"/>
      <c r="BJ44" s="373"/>
      <c r="BK44" s="268"/>
      <c r="BL44" s="268"/>
      <c r="BM44" s="268"/>
      <c r="BN44" s="268"/>
      <c r="BO44" s="268"/>
      <c r="BP44" s="268"/>
      <c r="BQ44" s="268"/>
      <c r="BR44" s="268"/>
      <c r="BS44" s="268"/>
      <c r="BT44" s="268"/>
      <c r="BU44" s="268"/>
      <c r="BV44" s="268"/>
      <c r="BW44" s="268"/>
      <c r="BX44" s="374"/>
      <c r="BY44" s="268"/>
      <c r="BZ44" s="268"/>
      <c r="CA44" s="268"/>
      <c r="CB44" s="268"/>
      <c r="CC44" s="268"/>
      <c r="CD44" s="268"/>
      <c r="CE44" s="268"/>
      <c r="CF44" s="268"/>
      <c r="CG44" s="268"/>
      <c r="CH44" s="268"/>
      <c r="CI44" s="268"/>
      <c r="CJ44" s="268"/>
      <c r="CK44" s="268"/>
      <c r="CL44" s="374"/>
      <c r="CM44" s="268"/>
      <c r="CN44" s="268"/>
      <c r="CO44" s="268"/>
      <c r="CP44" s="268"/>
      <c r="CQ44" s="268"/>
      <c r="CR44" s="268"/>
      <c r="CS44" s="268"/>
      <c r="CT44" s="268"/>
      <c r="CU44" s="268"/>
      <c r="CV44" s="268"/>
      <c r="CW44" s="268"/>
      <c r="CX44" s="268"/>
      <c r="CY44" s="268"/>
      <c r="CZ44" s="374"/>
    </row>
    <row r="45" spans="1:104 16374:16384" ht="14.5" x14ac:dyDescent="0.4">
      <c r="B45" s="30" t="s">
        <v>560</v>
      </c>
      <c r="F45" s="169">
        <f>F6+F13+F35+F40</f>
        <v>0</v>
      </c>
      <c r="G45" s="456">
        <f>F45</f>
        <v>0</v>
      </c>
      <c r="H45" s="169">
        <f t="shared" ref="H45:S45" si="131">H6+H13+H35+H40</f>
        <v>0</v>
      </c>
      <c r="I45" s="169">
        <f t="shared" si="131"/>
        <v>0</v>
      </c>
      <c r="J45" s="169">
        <f t="shared" si="131"/>
        <v>0</v>
      </c>
      <c r="K45" s="169">
        <f t="shared" si="131"/>
        <v>0</v>
      </c>
      <c r="L45" s="169">
        <f t="shared" si="131"/>
        <v>0</v>
      </c>
      <c r="M45" s="169">
        <f t="shared" si="131"/>
        <v>21488.961038961039</v>
      </c>
      <c r="N45" s="169">
        <f t="shared" si="131"/>
        <v>54</v>
      </c>
      <c r="O45" s="169">
        <f t="shared" si="131"/>
        <v>2163</v>
      </c>
      <c r="P45" s="169">
        <f t="shared" si="131"/>
        <v>3425.55</v>
      </c>
      <c r="Q45" s="169">
        <f t="shared" si="131"/>
        <v>2145</v>
      </c>
      <c r="R45" s="169">
        <f t="shared" si="131"/>
        <v>2145</v>
      </c>
      <c r="S45" s="169">
        <f t="shared" si="131"/>
        <v>63583.914600000004</v>
      </c>
      <c r="T45" s="443">
        <f>SUM(H45:S45)</f>
        <v>95005.425638961038</v>
      </c>
      <c r="V45" s="169">
        <f t="shared" ref="V45:AG45" si="132">V6+V13+V35+V40</f>
        <v>8440.4888917748794</v>
      </c>
      <c r="W45" s="169">
        <f t="shared" si="132"/>
        <v>6568.4888917748804</v>
      </c>
      <c r="X45" s="169">
        <f t="shared" si="132"/>
        <v>20355.82889177488</v>
      </c>
      <c r="Y45" s="169">
        <f t="shared" si="132"/>
        <v>14508.36889177488</v>
      </c>
      <c r="Z45" s="169">
        <f t="shared" si="132"/>
        <v>25205.822891774897</v>
      </c>
      <c r="AA45" s="169">
        <f t="shared" si="132"/>
        <v>18717.839494372292</v>
      </c>
      <c r="AB45" s="169">
        <f t="shared" si="132"/>
        <v>16387.759494372291</v>
      </c>
      <c r="AC45" s="169">
        <f t="shared" si="132"/>
        <v>20896.36888658008</v>
      </c>
      <c r="AD45" s="169">
        <f t="shared" si="132"/>
        <v>22265.329251047613</v>
      </c>
      <c r="AE45" s="169">
        <f t="shared" si="132"/>
        <v>23345.454900380952</v>
      </c>
      <c r="AF45" s="169">
        <f t="shared" si="132"/>
        <v>19040.464899047613</v>
      </c>
      <c r="AG45" s="169">
        <f t="shared" si="132"/>
        <v>21479.39529883982</v>
      </c>
      <c r="AH45" s="221">
        <f>SUM(V45:AG45)</f>
        <v>217211.61068351506</v>
      </c>
      <c r="AJ45" s="169">
        <f t="shared" ref="AJ45:AU45" si="133">AJ13+AJ35+AJ40</f>
        <v>16732.885687887378</v>
      </c>
      <c r="AK45" s="169">
        <f t="shared" si="133"/>
        <v>15844.115036884821</v>
      </c>
      <c r="AL45" s="169">
        <f t="shared" si="133"/>
        <v>16578.493869318299</v>
      </c>
      <c r="AM45" s="169">
        <f t="shared" si="133"/>
        <v>14898.384785393842</v>
      </c>
      <c r="AN45" s="169">
        <f t="shared" si="133"/>
        <v>21807.315875480519</v>
      </c>
      <c r="AO45" s="169">
        <f t="shared" si="133"/>
        <v>15594.525426752336</v>
      </c>
      <c r="AP45" s="169">
        <f t="shared" si="133"/>
        <v>14892.496114923975</v>
      </c>
      <c r="AQ45" s="169">
        <f t="shared" si="133"/>
        <v>15942.977992840692</v>
      </c>
      <c r="AR45" s="169">
        <f t="shared" si="133"/>
        <v>16672.661297509192</v>
      </c>
      <c r="AS45" s="169">
        <f t="shared" si="133"/>
        <v>14997.255376701021</v>
      </c>
      <c r="AT45" s="169">
        <f t="shared" si="133"/>
        <v>16107.966009402071</v>
      </c>
      <c r="AU45" s="169">
        <f t="shared" si="133"/>
        <v>15732.769596801953</v>
      </c>
      <c r="AV45" s="223">
        <f>SUM(AJ45:AU45)</f>
        <v>195801.84706989609</v>
      </c>
      <c r="AX45" s="169">
        <f t="shared" ref="AX45:BI45" si="134">AX13+AX35+AX40</f>
        <v>16832.607611755047</v>
      </c>
      <c r="AY45" s="169">
        <f t="shared" si="134"/>
        <v>14870.645599488862</v>
      </c>
      <c r="AZ45" s="169">
        <f t="shared" si="134"/>
        <v>16917.541321324417</v>
      </c>
      <c r="BA45" s="169">
        <f t="shared" si="134"/>
        <v>15155.166078417375</v>
      </c>
      <c r="BB45" s="169">
        <f t="shared" si="134"/>
        <v>21221.846881527083</v>
      </c>
      <c r="BC45" s="169">
        <f t="shared" si="134"/>
        <v>15849.770427749621</v>
      </c>
      <c r="BD45" s="169">
        <f t="shared" si="134"/>
        <v>15129.461992840257</v>
      </c>
      <c r="BE45" s="169">
        <f t="shared" si="134"/>
        <v>19385.711512615158</v>
      </c>
      <c r="BF45" s="169">
        <f t="shared" si="134"/>
        <v>16972.56551161746</v>
      </c>
      <c r="BG45" s="169">
        <f t="shared" si="134"/>
        <v>15246.906600702803</v>
      </c>
      <c r="BH45" s="169">
        <f t="shared" si="134"/>
        <v>15378.738851478958</v>
      </c>
      <c r="BI45" s="169">
        <f t="shared" si="134"/>
        <v>15982.473534952835</v>
      </c>
      <c r="BJ45" s="444">
        <f>SUM(AX45:BI45)</f>
        <v>198943.4359244699</v>
      </c>
      <c r="BL45" s="169">
        <f t="shared" ref="BL45:BW45" si="135">BL13+BL35+BL40</f>
        <v>17637.349371105076</v>
      </c>
      <c r="BM45" s="169">
        <f t="shared" si="135"/>
        <v>15623.813328759092</v>
      </c>
      <c r="BN45" s="169">
        <f t="shared" si="135"/>
        <v>17470.15471492659</v>
      </c>
      <c r="BO45" s="169">
        <f t="shared" si="135"/>
        <v>15652.11732188381</v>
      </c>
      <c r="BP45" s="169">
        <f t="shared" si="135"/>
        <v>21865.788967000382</v>
      </c>
      <c r="BQ45" s="169">
        <f t="shared" si="135"/>
        <v>16346.124387161368</v>
      </c>
      <c r="BR45" s="169">
        <f t="shared" si="135"/>
        <v>15595.706603888473</v>
      </c>
      <c r="BS45" s="169">
        <f t="shared" si="135"/>
        <v>15666.782103155789</v>
      </c>
      <c r="BT45" s="169">
        <f t="shared" si="135"/>
        <v>17490.03713426679</v>
      </c>
      <c r="BU45" s="169">
        <f t="shared" si="135"/>
        <v>15715.584716278845</v>
      </c>
      <c r="BV45" s="169">
        <f t="shared" si="135"/>
        <v>15862.136212857027</v>
      </c>
      <c r="BW45" s="169">
        <f t="shared" si="135"/>
        <v>16458.673834977802</v>
      </c>
      <c r="BX45" s="445">
        <f>SUM(BL45:BW45)</f>
        <v>201384.26869626105</v>
      </c>
      <c r="BZ45" s="169">
        <f>BZ13+BZ35+BZ40</f>
        <v>18986.092902357181</v>
      </c>
      <c r="CA45" s="169">
        <f t="shared" ref="CA45:CK45" si="136">CA13+CA35+CA40</f>
        <v>16893.078497631115</v>
      </c>
      <c r="CB45" s="169">
        <f t="shared" si="136"/>
        <v>16925.961546526451</v>
      </c>
      <c r="CC45" s="169">
        <f t="shared" si="136"/>
        <v>16922.990107010904</v>
      </c>
      <c r="CD45" s="169">
        <f t="shared" si="136"/>
        <v>23289.11819475525</v>
      </c>
      <c r="CE45" s="169">
        <f t="shared" si="136"/>
        <v>16860.300150290674</v>
      </c>
      <c r="CF45" s="169">
        <f t="shared" si="136"/>
        <v>16858.118224949158</v>
      </c>
      <c r="CG45" s="169">
        <f t="shared" si="136"/>
        <v>21340.371679879227</v>
      </c>
      <c r="CH45" s="169">
        <f t="shared" si="136"/>
        <v>16943.359105868414</v>
      </c>
      <c r="CI45" s="169">
        <f t="shared" si="136"/>
        <v>16988.668139231155</v>
      </c>
      <c r="CJ45" s="169">
        <f t="shared" si="136"/>
        <v>17149.864330533888</v>
      </c>
      <c r="CK45" s="169">
        <f t="shared" si="136"/>
        <v>16955.708295605782</v>
      </c>
      <c r="CL45" s="445">
        <f>SUM(BZ45:CK45)</f>
        <v>216113.63117463919</v>
      </c>
      <c r="CN45" s="169">
        <f t="shared" ref="CN45:CY45" si="137">CN13+CN35+CN40</f>
        <v>19507.758649446827</v>
      </c>
      <c r="CO45" s="169">
        <f>CO13+CO35+CO40</f>
        <v>17396.941246747556</v>
      </c>
      <c r="CP45" s="169">
        <f t="shared" si="137"/>
        <v>17432.455358089988</v>
      </c>
      <c r="CQ45" s="169">
        <f t="shared" si="137"/>
        <v>17428.455634058279</v>
      </c>
      <c r="CR45" s="169">
        <f t="shared" si="137"/>
        <v>23947.031748398964</v>
      </c>
      <c r="CS45" s="169">
        <f t="shared" si="137"/>
        <v>17358.127602142533</v>
      </c>
      <c r="CT45" s="169">
        <f t="shared" si="137"/>
        <v>17355.088629942777</v>
      </c>
      <c r="CU45" s="169">
        <f t="shared" si="137"/>
        <v>17440.133307021402</v>
      </c>
      <c r="CV45" s="169">
        <f t="shared" si="137"/>
        <v>17447.336184361273</v>
      </c>
      <c r="CW45" s="169">
        <f t="shared" si="137"/>
        <v>17496.324492309843</v>
      </c>
      <c r="CX45" s="169">
        <f t="shared" si="137"/>
        <v>17672.195147050144</v>
      </c>
      <c r="CY45" s="169">
        <f t="shared" si="137"/>
        <v>17458.857399635977</v>
      </c>
      <c r="CZ45" s="445">
        <f>SUM(CN45:CY45)</f>
        <v>217940.70539920559</v>
      </c>
    </row>
    <row r="46" spans="1:104 16374:16384" ht="14.5" x14ac:dyDescent="0.4">
      <c r="B46" s="30" t="s">
        <v>561</v>
      </c>
      <c r="F46" s="136"/>
      <c r="G46" s="456"/>
      <c r="H46" s="136">
        <f>Investitionen!H60</f>
        <v>0</v>
      </c>
      <c r="I46" s="136">
        <f>Investitionen!I60</f>
        <v>0</v>
      </c>
      <c r="J46" s="136">
        <f>Investitionen!J60</f>
        <v>0</v>
      </c>
      <c r="K46" s="136">
        <f>Investitionen!K60</f>
        <v>0</v>
      </c>
      <c r="L46" s="136">
        <f>Investitionen!L60</f>
        <v>0</v>
      </c>
      <c r="M46" s="136">
        <f>Investitionen!M60</f>
        <v>0</v>
      </c>
      <c r="N46" s="136">
        <f>Investitionen!N60</f>
        <v>0</v>
      </c>
      <c r="O46" s="136">
        <f>Investitionen!O60</f>
        <v>0</v>
      </c>
      <c r="P46" s="136">
        <f>Investitionen!P60</f>
        <v>0</v>
      </c>
      <c r="Q46" s="136">
        <f>Investitionen!Q60</f>
        <v>0</v>
      </c>
      <c r="R46" s="136">
        <f>Investitionen!R60</f>
        <v>20913.2</v>
      </c>
      <c r="S46" s="136">
        <f>Investitionen!S60</f>
        <v>0</v>
      </c>
      <c r="T46" s="443">
        <f>SUM(H46:S46)</f>
        <v>20913.2</v>
      </c>
      <c r="V46" s="136">
        <f>Investitionen!V60</f>
        <v>0</v>
      </c>
      <c r="W46" s="136">
        <f>Investitionen!W60</f>
        <v>0</v>
      </c>
      <c r="X46" s="136">
        <f>Investitionen!X60</f>
        <v>0</v>
      </c>
      <c r="Y46" s="136">
        <f>Investitionen!Y60</f>
        <v>6177</v>
      </c>
      <c r="Z46" s="136">
        <f>Investitionen!Z60</f>
        <v>16000</v>
      </c>
      <c r="AA46" s="136">
        <f>Investitionen!AA60</f>
        <v>301986.09999999998</v>
      </c>
      <c r="AB46" s="136">
        <f>Investitionen!AB60</f>
        <v>225979.21666666667</v>
      </c>
      <c r="AC46" s="136">
        <f>Investitionen!AC60</f>
        <v>117584.80833333333</v>
      </c>
      <c r="AD46" s="136">
        <f>Investitionen!AD60</f>
        <v>115072.54166666667</v>
      </c>
      <c r="AE46" s="136">
        <f>Investitionen!AE60</f>
        <v>67500</v>
      </c>
      <c r="AF46" s="136">
        <f>Investitionen!AF60</f>
        <v>161240</v>
      </c>
      <c r="AG46" s="136">
        <f>Investitionen!AG60</f>
        <v>12500</v>
      </c>
      <c r="AH46" s="221">
        <f>SUM(V46:AG46)</f>
        <v>1024039.6666666666</v>
      </c>
      <c r="AJ46" s="136">
        <f>Investitionen!AJ60</f>
        <v>33652.666666666672</v>
      </c>
      <c r="AK46" s="136">
        <f>Investitionen!AK60</f>
        <v>84570.35</v>
      </c>
      <c r="AL46" s="136">
        <v>0</v>
      </c>
      <c r="AM46" s="136">
        <v>0</v>
      </c>
      <c r="AN46" s="136">
        <v>0</v>
      </c>
      <c r="AO46" s="136">
        <v>0</v>
      </c>
      <c r="AP46" s="136">
        <v>0</v>
      </c>
      <c r="AQ46" s="136">
        <v>0</v>
      </c>
      <c r="AR46" s="136">
        <v>0</v>
      </c>
      <c r="AS46" s="136">
        <v>0</v>
      </c>
      <c r="AT46" s="136">
        <v>0</v>
      </c>
      <c r="AU46" s="136">
        <v>0</v>
      </c>
      <c r="AV46" s="223">
        <f>SUM(AJ46:AU46)</f>
        <v>118223.01666666668</v>
      </c>
      <c r="AX46" s="136">
        <v>0</v>
      </c>
      <c r="AY46" s="136">
        <v>0</v>
      </c>
      <c r="AZ46" s="136">
        <v>0</v>
      </c>
      <c r="BA46" s="136">
        <v>0</v>
      </c>
      <c r="BB46" s="136">
        <v>0</v>
      </c>
      <c r="BC46" s="136">
        <v>0</v>
      </c>
      <c r="BD46" s="136">
        <v>0</v>
      </c>
      <c r="BE46" s="136">
        <v>0</v>
      </c>
      <c r="BF46" s="136">
        <v>0</v>
      </c>
      <c r="BG46" s="136">
        <v>0</v>
      </c>
      <c r="BH46" s="136">
        <v>0</v>
      </c>
      <c r="BI46" s="136">
        <v>0</v>
      </c>
      <c r="BJ46" s="444">
        <f>SUM(AX46)</f>
        <v>0</v>
      </c>
      <c r="BL46" s="136">
        <v>0</v>
      </c>
      <c r="BM46" s="136">
        <v>0</v>
      </c>
      <c r="BN46" s="136">
        <v>0</v>
      </c>
      <c r="BO46" s="136">
        <v>0</v>
      </c>
      <c r="BP46" s="136">
        <v>0</v>
      </c>
      <c r="BQ46" s="136">
        <v>0</v>
      </c>
      <c r="BR46" s="136">
        <v>0</v>
      </c>
      <c r="BS46" s="136">
        <v>0</v>
      </c>
      <c r="BT46" s="136">
        <v>0</v>
      </c>
      <c r="BU46" s="136">
        <v>0</v>
      </c>
      <c r="BV46" s="136">
        <v>0</v>
      </c>
      <c r="BW46" s="136">
        <v>0</v>
      </c>
      <c r="BX46" s="445">
        <f>SUM(BL46:BW46)</f>
        <v>0</v>
      </c>
      <c r="BZ46" s="136">
        <v>0</v>
      </c>
      <c r="CA46" s="136">
        <v>0</v>
      </c>
      <c r="CB46" s="136">
        <v>0</v>
      </c>
      <c r="CC46" s="136">
        <v>0</v>
      </c>
      <c r="CD46" s="136">
        <v>0</v>
      </c>
      <c r="CE46" s="136">
        <v>0</v>
      </c>
      <c r="CF46" s="136">
        <v>0</v>
      </c>
      <c r="CG46" s="136">
        <v>0</v>
      </c>
      <c r="CH46" s="136">
        <v>0</v>
      </c>
      <c r="CI46" s="136">
        <v>0</v>
      </c>
      <c r="CJ46" s="136">
        <v>0</v>
      </c>
      <c r="CK46" s="136">
        <v>0</v>
      </c>
      <c r="CL46" s="445">
        <f>SUM(BZ46:CK46)</f>
        <v>0</v>
      </c>
      <c r="CN46" s="136">
        <v>0</v>
      </c>
      <c r="CO46" s="136">
        <v>0</v>
      </c>
      <c r="CP46" s="136">
        <v>0</v>
      </c>
      <c r="CQ46" s="136">
        <v>0</v>
      </c>
      <c r="CR46" s="136">
        <v>0</v>
      </c>
      <c r="CS46" s="136">
        <v>0</v>
      </c>
      <c r="CT46" s="136">
        <v>0</v>
      </c>
      <c r="CU46" s="136">
        <v>0</v>
      </c>
      <c r="CV46" s="136">
        <v>0</v>
      </c>
      <c r="CW46" s="136">
        <v>0</v>
      </c>
      <c r="CX46" s="136">
        <v>0</v>
      </c>
      <c r="CY46" s="136">
        <v>0</v>
      </c>
      <c r="CZ46" s="445">
        <f>SUM(CN46:CY46)</f>
        <v>0</v>
      </c>
    </row>
    <row r="47" spans="1:104 16374:16384" ht="14.5" x14ac:dyDescent="0.4">
      <c r="B47" s="514" t="s">
        <v>562</v>
      </c>
      <c r="C47" s="515">
        <v>0.2</v>
      </c>
      <c r="D47" s="360"/>
      <c r="E47" s="360"/>
      <c r="F47" s="480">
        <f>SUM(F45:F46)*$C47</f>
        <v>0</v>
      </c>
      <c r="G47" s="481">
        <f>F47</f>
        <v>0</v>
      </c>
      <c r="H47" s="480">
        <f t="shared" ref="H47:S47" si="138">SUM(H45:H46)*$C47</f>
        <v>0</v>
      </c>
      <c r="I47" s="480">
        <f t="shared" si="138"/>
        <v>0</v>
      </c>
      <c r="J47" s="480">
        <f t="shared" si="138"/>
        <v>0</v>
      </c>
      <c r="K47" s="480">
        <f t="shared" si="138"/>
        <v>0</v>
      </c>
      <c r="L47" s="480">
        <f t="shared" si="138"/>
        <v>0</v>
      </c>
      <c r="M47" s="480">
        <f t="shared" si="138"/>
        <v>4297.7922077922076</v>
      </c>
      <c r="N47" s="480">
        <f t="shared" si="138"/>
        <v>10.8</v>
      </c>
      <c r="O47" s="480">
        <f t="shared" si="138"/>
        <v>432.6</v>
      </c>
      <c r="P47" s="480">
        <f t="shared" si="138"/>
        <v>685.11000000000013</v>
      </c>
      <c r="Q47" s="480">
        <f t="shared" si="138"/>
        <v>429</v>
      </c>
      <c r="R47" s="480">
        <f t="shared" si="138"/>
        <v>4611.6400000000003</v>
      </c>
      <c r="S47" s="480">
        <f t="shared" si="138"/>
        <v>12716.782920000001</v>
      </c>
      <c r="T47" s="482">
        <f>SUM(H47:S47)</f>
        <v>23183.725127792211</v>
      </c>
      <c r="U47" s="314"/>
      <c r="V47" s="480">
        <f t="shared" ref="V47:AG47" si="139">SUM(V45:V46)*$C47</f>
        <v>1688.0977783549761</v>
      </c>
      <c r="W47" s="480">
        <f t="shared" si="139"/>
        <v>1313.6977783549762</v>
      </c>
      <c r="X47" s="480">
        <f t="shared" si="139"/>
        <v>4071.1657783549763</v>
      </c>
      <c r="Y47" s="480">
        <f t="shared" si="139"/>
        <v>4137.0737783549766</v>
      </c>
      <c r="Z47" s="480">
        <f t="shared" si="139"/>
        <v>8241.1645783549793</v>
      </c>
      <c r="AA47" s="480">
        <f t="shared" si="139"/>
        <v>64140.787898874463</v>
      </c>
      <c r="AB47" s="480">
        <f t="shared" si="139"/>
        <v>48473.395232207797</v>
      </c>
      <c r="AC47" s="480">
        <f t="shared" si="139"/>
        <v>27696.235443982681</v>
      </c>
      <c r="AD47" s="480">
        <f t="shared" si="139"/>
        <v>27467.57418354286</v>
      </c>
      <c r="AE47" s="480">
        <f t="shared" si="139"/>
        <v>18169.090980076191</v>
      </c>
      <c r="AF47" s="480">
        <f t="shared" si="139"/>
        <v>36056.092979809524</v>
      </c>
      <c r="AG47" s="480">
        <f t="shared" si="139"/>
        <v>6795.8790597679654</v>
      </c>
      <c r="AH47" s="245">
        <f>SUM(V47:AG47)</f>
        <v>248250.25547003635</v>
      </c>
      <c r="AI47" s="314"/>
      <c r="AJ47" s="480">
        <f t="shared" ref="AJ47:AU47" si="140">SUM(AJ45:AJ46)*$C47</f>
        <v>10077.110470910811</v>
      </c>
      <c r="AK47" s="480">
        <f t="shared" si="140"/>
        <v>20082.893007376966</v>
      </c>
      <c r="AL47" s="480">
        <f t="shared" si="140"/>
        <v>3315.6987738636599</v>
      </c>
      <c r="AM47" s="480">
        <f t="shared" si="140"/>
        <v>2979.6769570787687</v>
      </c>
      <c r="AN47" s="480">
        <f t="shared" si="140"/>
        <v>4361.4631750961044</v>
      </c>
      <c r="AO47" s="480">
        <f t="shared" si="140"/>
        <v>3118.9050853504673</v>
      </c>
      <c r="AP47" s="480">
        <f t="shared" si="140"/>
        <v>2978.4992229847953</v>
      </c>
      <c r="AQ47" s="480">
        <f t="shared" si="140"/>
        <v>3188.5955985681385</v>
      </c>
      <c r="AR47" s="480">
        <f t="shared" si="140"/>
        <v>3334.5322595018388</v>
      </c>
      <c r="AS47" s="480">
        <f t="shared" si="140"/>
        <v>2999.4510753402046</v>
      </c>
      <c r="AT47" s="480">
        <f t="shared" si="140"/>
        <v>3221.5932018804142</v>
      </c>
      <c r="AU47" s="480">
        <f t="shared" si="140"/>
        <v>3146.5539193603909</v>
      </c>
      <c r="AV47" s="248">
        <f>SUM(AJ47:AU47)</f>
        <v>62804.972747312553</v>
      </c>
      <c r="AW47" s="314"/>
      <c r="AX47" s="480">
        <f t="shared" ref="AX47:BI47" si="141">SUM(AX45:AX46)*$C47</f>
        <v>3366.5215223510095</v>
      </c>
      <c r="AY47" s="480">
        <f t="shared" si="141"/>
        <v>2974.1291198977724</v>
      </c>
      <c r="AZ47" s="480">
        <f t="shared" si="141"/>
        <v>3383.5082642648836</v>
      </c>
      <c r="BA47" s="480">
        <f t="shared" si="141"/>
        <v>3031.0332156834752</v>
      </c>
      <c r="BB47" s="480">
        <f t="shared" si="141"/>
        <v>4244.3693763054171</v>
      </c>
      <c r="BC47" s="480">
        <f t="shared" si="141"/>
        <v>3169.9540855499245</v>
      </c>
      <c r="BD47" s="480">
        <f t="shared" si="141"/>
        <v>3025.8923985680517</v>
      </c>
      <c r="BE47" s="480">
        <f t="shared" si="141"/>
        <v>3877.142302523032</v>
      </c>
      <c r="BF47" s="480">
        <f t="shared" si="141"/>
        <v>3394.5131023234921</v>
      </c>
      <c r="BG47" s="480">
        <f t="shared" si="141"/>
        <v>3049.381320140561</v>
      </c>
      <c r="BH47" s="480">
        <f t="shared" si="141"/>
        <v>3075.7477702957917</v>
      </c>
      <c r="BI47" s="480">
        <f t="shared" si="141"/>
        <v>3196.494706990567</v>
      </c>
      <c r="BJ47" s="483">
        <f>SUM(AX47:BI47)</f>
        <v>39788.687184893977</v>
      </c>
      <c r="BK47" s="314"/>
      <c r="BL47" s="480">
        <f t="shared" ref="BL47:BW47" si="142">SUM(BL45:BL46)*$C47</f>
        <v>3527.4698742210153</v>
      </c>
      <c r="BM47" s="480">
        <f t="shared" si="142"/>
        <v>3124.7626657518185</v>
      </c>
      <c r="BN47" s="480">
        <f t="shared" si="142"/>
        <v>3494.0309429853182</v>
      </c>
      <c r="BO47" s="480">
        <f t="shared" si="142"/>
        <v>3130.4234643767622</v>
      </c>
      <c r="BP47" s="480">
        <f t="shared" si="142"/>
        <v>4373.157793400077</v>
      </c>
      <c r="BQ47" s="480">
        <f t="shared" si="142"/>
        <v>3269.2248774322738</v>
      </c>
      <c r="BR47" s="480">
        <f t="shared" si="142"/>
        <v>3119.141320777695</v>
      </c>
      <c r="BS47" s="480">
        <f t="shared" si="142"/>
        <v>3133.356420631158</v>
      </c>
      <c r="BT47" s="480">
        <f t="shared" si="142"/>
        <v>3498.0074268533581</v>
      </c>
      <c r="BU47" s="480">
        <f t="shared" si="142"/>
        <v>3143.116943255769</v>
      </c>
      <c r="BV47" s="480">
        <f t="shared" si="142"/>
        <v>3172.4272425714057</v>
      </c>
      <c r="BW47" s="480">
        <f t="shared" si="142"/>
        <v>3291.7347669955607</v>
      </c>
      <c r="BX47" s="484">
        <f>SUM(BL47:BW47)</f>
        <v>40276.853739252219</v>
      </c>
      <c r="BY47" s="314"/>
      <c r="BZ47" s="480">
        <f>SUM(BZ45:BZ46)*$C47</f>
        <v>3797.2185804714363</v>
      </c>
      <c r="CA47" s="480">
        <f t="shared" ref="CA47:CK47" si="143">SUM(CA45:CA46)*$C47</f>
        <v>3378.6156995262231</v>
      </c>
      <c r="CB47" s="480">
        <f t="shared" si="143"/>
        <v>3385.1923093052901</v>
      </c>
      <c r="CC47" s="480">
        <f t="shared" si="143"/>
        <v>3384.5980214021811</v>
      </c>
      <c r="CD47" s="480">
        <f t="shared" si="143"/>
        <v>4657.8236389510503</v>
      </c>
      <c r="CE47" s="480">
        <f t="shared" si="143"/>
        <v>3372.060030058135</v>
      </c>
      <c r="CF47" s="480">
        <f t="shared" si="143"/>
        <v>3371.6236449898315</v>
      </c>
      <c r="CG47" s="480">
        <f t="shared" si="143"/>
        <v>4268.0743359758453</v>
      </c>
      <c r="CH47" s="480">
        <f t="shared" si="143"/>
        <v>3388.6718211736829</v>
      </c>
      <c r="CI47" s="480">
        <f t="shared" si="143"/>
        <v>3397.7336278462312</v>
      </c>
      <c r="CJ47" s="480">
        <f t="shared" si="143"/>
        <v>3429.9728661067779</v>
      </c>
      <c r="CK47" s="480">
        <f t="shared" si="143"/>
        <v>3391.1416591211564</v>
      </c>
      <c r="CL47" s="484">
        <f>SUM(BZ47:CK47)</f>
        <v>43222.726234927846</v>
      </c>
      <c r="CM47" s="314"/>
      <c r="CN47" s="480">
        <f t="shared" ref="CN47:CY47" si="144">SUM(CN45:CN46)*$C47</f>
        <v>3901.5517298893656</v>
      </c>
      <c r="CO47" s="480">
        <f t="shared" si="144"/>
        <v>3479.3882493495112</v>
      </c>
      <c r="CP47" s="480">
        <f t="shared" si="144"/>
        <v>3486.4910716179979</v>
      </c>
      <c r="CQ47" s="480">
        <f t="shared" si="144"/>
        <v>3485.691126811656</v>
      </c>
      <c r="CR47" s="480">
        <f t="shared" si="144"/>
        <v>4789.4063496797926</v>
      </c>
      <c r="CS47" s="480">
        <f t="shared" si="144"/>
        <v>3471.6255204285067</v>
      </c>
      <c r="CT47" s="480">
        <f t="shared" si="144"/>
        <v>3471.0177259885554</v>
      </c>
      <c r="CU47" s="480">
        <f t="shared" si="144"/>
        <v>3488.0266614042807</v>
      </c>
      <c r="CV47" s="480">
        <f t="shared" si="144"/>
        <v>3489.4672368722549</v>
      </c>
      <c r="CW47" s="480">
        <f t="shared" si="144"/>
        <v>3499.2648984619686</v>
      </c>
      <c r="CX47" s="480">
        <f t="shared" si="144"/>
        <v>3534.439029410029</v>
      </c>
      <c r="CY47" s="480">
        <f t="shared" si="144"/>
        <v>3491.7714799271957</v>
      </c>
      <c r="CZ47" s="484">
        <f>SUM(CN47:CY47)</f>
        <v>43588.141079841116</v>
      </c>
    </row>
    <row r="48" spans="1:104 16374:16384" ht="14.5" x14ac:dyDescent="0.4">
      <c r="AH48" s="454"/>
      <c r="AV48" s="454"/>
      <c r="BJ48" s="454"/>
      <c r="BX48" s="454"/>
      <c r="CL48" s="454"/>
      <c r="CZ48" s="454"/>
    </row>
    <row r="49" spans="2:50" ht="14.5" x14ac:dyDescent="0.4">
      <c r="B49" s="27" t="s">
        <v>563</v>
      </c>
      <c r="AX49" s="136"/>
    </row>
    <row r="50" spans="2:50" ht="14.5" x14ac:dyDescent="0.4">
      <c r="B50" s="28" t="s">
        <v>366</v>
      </c>
      <c r="AX50" s="136"/>
    </row>
    <row r="51" spans="2:50" ht="14.5" x14ac:dyDescent="0.4">
      <c r="B51" s="193" t="s">
        <v>367</v>
      </c>
      <c r="AX51" s="136"/>
    </row>
    <row r="52" spans="2:50" ht="14.5" x14ac:dyDescent="0.4">
      <c r="T52" s="454"/>
      <c r="AX52" s="136"/>
    </row>
    <row r="53" spans="2:50" ht="14.5" x14ac:dyDescent="0.4">
      <c r="AX53" s="136"/>
    </row>
  </sheetData>
  <mergeCells count="7">
    <mergeCell ref="BZ1:CK1"/>
    <mergeCell ref="CN1:CY1"/>
    <mergeCell ref="H1:S1"/>
    <mergeCell ref="V1:AG1"/>
    <mergeCell ref="AJ1:AU1"/>
    <mergeCell ref="AX1:BI1"/>
    <mergeCell ref="BL1:BW1"/>
  </mergeCells>
  <conditionalFormatting sqref="C3:E3 F3:K4 L4:S4 G5:S5 G7 B8:K8">
    <cfRule type="cellIs" dxfId="2" priority="2" operator="equal">
      <formula>"FEHLER"</formula>
    </cfRule>
  </conditionalFormatting>
  <conditionalFormatting sqref="C6:S6">
    <cfRule type="cellIs" dxfId="1" priority="4" operator="equal">
      <formula>"FEHLER"</formula>
    </cfRule>
  </conditionalFormatting>
  <conditionalFormatting sqref="H9:K9">
    <cfRule type="cellIs" dxfId="0" priority="3" operator="equal">
      <formula>"FEHLER"</formula>
    </cfRule>
  </conditionalFormatting>
  <pageMargins left="0.7" right="0.7" top="0.78749999999999998" bottom="0.78749999999999998" header="0.511811023622047" footer="0.511811023622047"/>
  <pageSetup paperSize="9" scale="63" orientation="landscape" horizontalDpi="300" verticalDpi="300" r:id="rId1"/>
  <colBreaks count="5" manualBreakCount="5">
    <brk id="20" max="1048575" man="1"/>
    <brk id="34" max="1048575" man="1"/>
    <brk id="48" max="1048575" man="1"/>
    <brk id="62" max="1048575" man="1"/>
    <brk id="76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D56"/>
  <sheetViews>
    <sheetView showGridLines="0" topLeftCell="BC1" zoomScale="70" zoomScaleNormal="70" zoomScaleSheetLayoutView="100" workbookViewId="0">
      <selection activeCell="BM16" sqref="BM16"/>
    </sheetView>
  </sheetViews>
  <sheetFormatPr baseColWidth="10" defaultColWidth="10.54296875" defaultRowHeight="14.25" customHeight="1" x14ac:dyDescent="0.4"/>
  <cols>
    <col min="1" max="1" width="8.54296875" style="194" customWidth="1"/>
    <col min="2" max="2" width="47.453125" style="30" customWidth="1"/>
    <col min="3" max="3" width="7" style="30" customWidth="1"/>
    <col min="4" max="7" width="3.81640625" style="30" customWidth="1"/>
    <col min="8" max="19" width="10.26953125" style="31" hidden="1" customWidth="1"/>
    <col min="20" max="20" width="12.1796875" style="454" hidden="1" customWidth="1"/>
    <col min="21" max="21" width="2" style="454" hidden="1" customWidth="1"/>
    <col min="22" max="24" width="10.26953125" style="31" hidden="1" customWidth="1"/>
    <col min="25" max="25" width="9.54296875" style="31" hidden="1" customWidth="1"/>
    <col min="26" max="26" width="9.81640625" style="31" hidden="1" customWidth="1"/>
    <col min="27" max="27" width="8.7265625" style="31" customWidth="1"/>
    <col min="28" max="28" width="10.81640625" style="516" customWidth="1"/>
    <col min="29" max="29" width="9.81640625" style="31" customWidth="1"/>
    <col min="30" max="32" width="8.7265625" style="31" customWidth="1"/>
    <col min="33" max="34" width="8.54296875" style="31" customWidth="1"/>
    <col min="35" max="35" width="11.81640625" style="36" customWidth="1"/>
    <col min="36" max="36" width="4.453125" style="36" customWidth="1"/>
    <col min="37" max="43" width="8.7265625" style="31" customWidth="1"/>
    <col min="44" max="48" width="10.453125" style="31" customWidth="1"/>
    <col min="49" max="49" width="13.26953125" style="36" customWidth="1"/>
    <col min="50" max="50" width="2" style="36" customWidth="1"/>
    <col min="51" max="53" width="10.453125" style="31" customWidth="1"/>
    <col min="54" max="59" width="10.26953125" style="31" customWidth="1"/>
    <col min="60" max="60" width="10.453125" style="31" customWidth="1"/>
    <col min="61" max="62" width="10.26953125" style="31" customWidth="1"/>
    <col min="63" max="63" width="12.453125" style="30" customWidth="1"/>
    <col min="64" max="64" width="2" style="30" customWidth="1"/>
    <col min="65" max="76" width="10.26953125" style="31" customWidth="1"/>
    <col min="77" max="77" width="14" style="30" customWidth="1"/>
    <col min="78" max="16384" width="10.54296875" style="30"/>
  </cols>
  <sheetData>
    <row r="1" spans="1:82" s="35" customFormat="1" ht="14.25" customHeight="1" x14ac:dyDescent="0.4">
      <c r="A1" s="37" t="s">
        <v>332</v>
      </c>
      <c r="B1" s="35" t="s">
        <v>564</v>
      </c>
      <c r="H1" s="1065">
        <v>2024</v>
      </c>
      <c r="I1" s="1065"/>
      <c r="J1" s="1065"/>
      <c r="K1" s="1065"/>
      <c r="L1" s="1065"/>
      <c r="M1" s="1065"/>
      <c r="N1" s="1065"/>
      <c r="O1" s="1065"/>
      <c r="P1" s="1065"/>
      <c r="Q1" s="1065"/>
      <c r="R1" s="1065"/>
      <c r="S1" s="1065"/>
      <c r="T1" s="517">
        <v>2024</v>
      </c>
      <c r="U1" s="454"/>
      <c r="V1" s="1062">
        <v>2025</v>
      </c>
      <c r="W1" s="1062"/>
      <c r="X1" s="1062"/>
      <c r="Y1" s="1062"/>
      <c r="Z1" s="1062"/>
      <c r="AA1" s="1062"/>
      <c r="AB1" s="1062"/>
      <c r="AC1" s="1062"/>
      <c r="AD1" s="1062"/>
      <c r="AE1" s="1062"/>
      <c r="AF1" s="1062"/>
      <c r="AG1" s="1062"/>
      <c r="AH1" s="1062"/>
      <c r="AI1" s="199">
        <v>2025</v>
      </c>
      <c r="AJ1" s="36"/>
      <c r="AK1" s="1063">
        <v>2026</v>
      </c>
      <c r="AL1" s="1063"/>
      <c r="AM1" s="1063"/>
      <c r="AN1" s="1063"/>
      <c r="AO1" s="1063"/>
      <c r="AP1" s="1063"/>
      <c r="AQ1" s="1063"/>
      <c r="AR1" s="1063"/>
      <c r="AS1" s="1063"/>
      <c r="AT1" s="1063"/>
      <c r="AU1" s="1063"/>
      <c r="AV1" s="1063"/>
      <c r="AW1" s="200">
        <v>2026</v>
      </c>
      <c r="AX1" s="36"/>
      <c r="AY1" s="1064">
        <v>2027</v>
      </c>
      <c r="AZ1" s="1064"/>
      <c r="BA1" s="1064"/>
      <c r="BB1" s="1064"/>
      <c r="BC1" s="1064"/>
      <c r="BD1" s="1064"/>
      <c r="BE1" s="1064"/>
      <c r="BF1" s="1064"/>
      <c r="BG1" s="1064"/>
      <c r="BH1" s="1064"/>
      <c r="BI1" s="1064"/>
      <c r="BJ1" s="1064"/>
      <c r="BK1" s="264">
        <v>2027</v>
      </c>
      <c r="BL1" s="37"/>
      <c r="BM1" s="1061">
        <v>2028</v>
      </c>
      <c r="BN1" s="1061"/>
      <c r="BO1" s="1061"/>
      <c r="BP1" s="1061"/>
      <c r="BQ1" s="1061"/>
      <c r="BR1" s="1061"/>
      <c r="BS1" s="1061"/>
      <c r="BT1" s="1061"/>
      <c r="BU1" s="1061"/>
      <c r="BV1" s="1061"/>
      <c r="BW1" s="1061"/>
      <c r="BX1" s="1061"/>
      <c r="BY1" s="265">
        <v>2028</v>
      </c>
      <c r="BZ1" s="35">
        <v>2029</v>
      </c>
      <c r="CA1" s="35">
        <v>2030</v>
      </c>
    </row>
    <row r="2" spans="1:82" ht="14.25" customHeight="1" x14ac:dyDescent="0.4">
      <c r="B2" s="44" t="s">
        <v>514</v>
      </c>
      <c r="H2" s="31">
        <v>2</v>
      </c>
      <c r="I2" s="31">
        <v>3</v>
      </c>
      <c r="J2" s="31">
        <v>4</v>
      </c>
      <c r="K2" s="31">
        <v>5</v>
      </c>
      <c r="L2" s="31">
        <v>6</v>
      </c>
      <c r="M2" s="31">
        <v>7</v>
      </c>
      <c r="N2" s="31">
        <v>8</v>
      </c>
      <c r="O2" s="31">
        <v>9</v>
      </c>
      <c r="P2" s="31">
        <v>10</v>
      </c>
      <c r="Q2" s="31">
        <v>11</v>
      </c>
      <c r="R2" s="31">
        <v>12</v>
      </c>
      <c r="S2" s="31">
        <v>1</v>
      </c>
      <c r="T2" s="517"/>
      <c r="V2" s="31">
        <v>2</v>
      </c>
      <c r="W2" s="31">
        <v>3</v>
      </c>
      <c r="X2" s="31">
        <v>4</v>
      </c>
      <c r="Y2" s="31">
        <v>5</v>
      </c>
      <c r="Z2" s="31">
        <v>6</v>
      </c>
      <c r="AA2" s="31">
        <v>7</v>
      </c>
      <c r="AB2" s="516" t="s">
        <v>565</v>
      </c>
      <c r="AC2" s="31">
        <v>8</v>
      </c>
      <c r="AD2" s="31">
        <v>9</v>
      </c>
      <c r="AE2" s="31">
        <v>10</v>
      </c>
      <c r="AF2" s="31">
        <v>11</v>
      </c>
      <c r="AG2" s="31">
        <v>12</v>
      </c>
      <c r="AH2" s="31">
        <v>1</v>
      </c>
      <c r="AI2" s="199"/>
      <c r="AK2" s="31">
        <v>2</v>
      </c>
      <c r="AL2" s="31">
        <v>3</v>
      </c>
      <c r="AM2" s="31">
        <v>4</v>
      </c>
      <c r="AN2" s="31">
        <v>5</v>
      </c>
      <c r="AO2" s="31">
        <v>6</v>
      </c>
      <c r="AP2" s="31">
        <v>7</v>
      </c>
      <c r="AQ2" s="31">
        <v>8</v>
      </c>
      <c r="AR2" s="31">
        <v>9</v>
      </c>
      <c r="AS2" s="31">
        <v>10</v>
      </c>
      <c r="AT2" s="31">
        <v>11</v>
      </c>
      <c r="AU2" s="31">
        <v>12</v>
      </c>
      <c r="AV2" s="31">
        <v>1</v>
      </c>
      <c r="AW2" s="200"/>
      <c r="AY2" s="31">
        <v>2</v>
      </c>
      <c r="AZ2" s="31">
        <v>3</v>
      </c>
      <c r="BA2" s="31">
        <v>4</v>
      </c>
      <c r="BB2" s="31">
        <v>5</v>
      </c>
      <c r="BC2" s="31">
        <v>6</v>
      </c>
      <c r="BD2" s="31">
        <v>7</v>
      </c>
      <c r="BE2" s="31">
        <v>8</v>
      </c>
      <c r="BF2" s="31">
        <v>9</v>
      </c>
      <c r="BG2" s="31">
        <v>10</v>
      </c>
      <c r="BH2" s="31">
        <v>11</v>
      </c>
      <c r="BI2" s="31">
        <v>12</v>
      </c>
      <c r="BJ2" s="31">
        <v>1</v>
      </c>
      <c r="BK2" s="358" t="s">
        <v>336</v>
      </c>
      <c r="BL2" s="36"/>
      <c r="BM2" s="31">
        <v>2</v>
      </c>
      <c r="BN2" s="31">
        <v>3</v>
      </c>
      <c r="BO2" s="31">
        <v>4</v>
      </c>
      <c r="BP2" s="31">
        <v>5</v>
      </c>
      <c r="BQ2" s="31">
        <v>6</v>
      </c>
      <c r="BR2" s="31">
        <v>7</v>
      </c>
      <c r="BS2" s="31">
        <v>8</v>
      </c>
      <c r="BT2" s="31">
        <v>9</v>
      </c>
      <c r="BU2" s="31">
        <v>10</v>
      </c>
      <c r="BV2" s="31">
        <v>11</v>
      </c>
      <c r="BW2" s="31">
        <v>12</v>
      </c>
      <c r="BX2" s="31">
        <v>1</v>
      </c>
      <c r="BY2" s="359" t="s">
        <v>336</v>
      </c>
      <c r="BZ2" s="359" t="s">
        <v>336</v>
      </c>
      <c r="CA2" s="359" t="s">
        <v>336</v>
      </c>
    </row>
    <row r="3" spans="1:82" ht="14.25" customHeight="1" x14ac:dyDescent="0.4">
      <c r="B3" s="139" t="s">
        <v>566</v>
      </c>
      <c r="C3" s="267"/>
      <c r="D3" s="267"/>
      <c r="E3" s="267"/>
      <c r="F3" s="267"/>
      <c r="G3" s="267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518"/>
      <c r="U3" s="519"/>
      <c r="V3" s="296"/>
      <c r="W3" s="296"/>
      <c r="X3" s="296"/>
      <c r="Y3" s="296"/>
      <c r="Z3" s="296"/>
      <c r="AA3" s="296"/>
      <c r="AB3" s="520"/>
      <c r="AC3" s="296"/>
      <c r="AD3" s="296"/>
      <c r="AE3" s="296"/>
      <c r="AF3" s="296"/>
      <c r="AG3" s="296"/>
      <c r="AH3" s="296"/>
      <c r="AI3" s="521"/>
      <c r="AJ3" s="519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522"/>
      <c r="AX3" s="519"/>
      <c r="AY3" s="296"/>
      <c r="AZ3" s="296"/>
      <c r="BA3" s="296"/>
      <c r="BB3" s="296"/>
      <c r="BC3" s="296"/>
      <c r="BD3" s="296"/>
      <c r="BE3" s="296"/>
      <c r="BF3" s="296"/>
      <c r="BG3" s="296"/>
      <c r="BH3" s="296"/>
      <c r="BI3" s="296"/>
      <c r="BJ3" s="296"/>
      <c r="BK3" s="523"/>
      <c r="BL3" s="519"/>
      <c r="BM3" s="296"/>
      <c r="BN3" s="296"/>
      <c r="BO3" s="296"/>
      <c r="BP3" s="296"/>
      <c r="BQ3" s="296"/>
      <c r="BR3" s="296"/>
      <c r="BS3" s="296"/>
      <c r="BT3" s="296"/>
      <c r="BU3" s="296"/>
      <c r="BV3" s="296"/>
      <c r="BW3" s="296"/>
      <c r="BX3" s="296"/>
      <c r="BY3" s="524"/>
    </row>
    <row r="4" spans="1:82" ht="14.25" customHeight="1" x14ac:dyDescent="0.4">
      <c r="B4" s="30" t="s">
        <v>567</v>
      </c>
      <c r="H4" s="525">
        <f>+Bil!D19</f>
        <v>441158.38999999996</v>
      </c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526">
        <f t="shared" ref="T4:T12" si="0">SUM(H4:S4)</f>
        <v>441158.38999999996</v>
      </c>
      <c r="U4" s="527"/>
      <c r="V4" s="277"/>
      <c r="W4" s="277"/>
      <c r="X4" s="277"/>
      <c r="Y4" s="277"/>
      <c r="Z4" s="277"/>
      <c r="AA4" s="277"/>
      <c r="AB4" s="528"/>
      <c r="AC4" s="277"/>
      <c r="AD4" s="277"/>
      <c r="AE4" s="277"/>
      <c r="AF4" s="277"/>
      <c r="AG4" s="277"/>
      <c r="AH4" s="277"/>
      <c r="AI4" s="529">
        <f>SUM(V4:AH4)</f>
        <v>0</v>
      </c>
      <c r="AJ4" s="527"/>
      <c r="AK4" s="277">
        <f>5044.4+47262.3+3925.44+15000+100634.73</f>
        <v>171866.87</v>
      </c>
      <c r="AL4" s="277">
        <f>3679.26+6937.61+70000+97.49+15000</f>
        <v>95714.36</v>
      </c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530">
        <f t="shared" ref="AW4:AW11" si="1">SUM(AK4:AV4)</f>
        <v>267581.23</v>
      </c>
      <c r="AX4" s="527"/>
      <c r="AY4" s="531"/>
      <c r="AZ4" s="277"/>
      <c r="BA4" s="277"/>
      <c r="BB4" s="277"/>
      <c r="BC4" s="277"/>
      <c r="BD4" s="277"/>
      <c r="BE4" s="277"/>
      <c r="BF4" s="277"/>
      <c r="BG4" s="277"/>
      <c r="BH4" s="277"/>
      <c r="BI4" s="277"/>
      <c r="BJ4" s="277"/>
      <c r="BK4" s="532">
        <f t="shared" ref="BK4:BK12" si="2">SUM(AY4:BJ4)</f>
        <v>0</v>
      </c>
      <c r="BL4" s="527"/>
      <c r="BM4" s="531"/>
      <c r="BN4" s="277"/>
      <c r="BO4" s="277"/>
      <c r="BP4" s="277"/>
      <c r="BQ4" s="277"/>
      <c r="BR4" s="277"/>
      <c r="BS4" s="277"/>
      <c r="BT4" s="277"/>
      <c r="BU4" s="277"/>
      <c r="BV4" s="277"/>
      <c r="BW4" s="277"/>
      <c r="BX4" s="277"/>
      <c r="BY4" s="533">
        <f t="shared" ref="BY4:BY12" si="3">SUM(BM4:BX4)</f>
        <v>0</v>
      </c>
      <c r="BZ4" s="33"/>
    </row>
    <row r="5" spans="1:82" ht="14.25" customHeight="1" x14ac:dyDescent="0.4">
      <c r="B5" s="27" t="str">
        <f>Mitgl!B13</f>
        <v xml:space="preserve">Umsatz netto </v>
      </c>
      <c r="H5" s="525">
        <f>Mitgl!H13</f>
        <v>0</v>
      </c>
      <c r="I5" s="525">
        <f>Mitgl!I13</f>
        <v>0</v>
      </c>
      <c r="J5" s="525">
        <f>Mitgl!J13</f>
        <v>0</v>
      </c>
      <c r="K5" s="525">
        <f>Mitgl!K13</f>
        <v>0</v>
      </c>
      <c r="L5" s="525">
        <f>Mitgl!L13</f>
        <v>0</v>
      </c>
      <c r="M5" s="525">
        <f>Mitgl!M13</f>
        <v>0</v>
      </c>
      <c r="N5" s="525">
        <f>Mitgl!N13</f>
        <v>0</v>
      </c>
      <c r="O5" s="525">
        <f>Mitgl!O13</f>
        <v>0</v>
      </c>
      <c r="P5" s="525">
        <f>Mitgl!P13</f>
        <v>0</v>
      </c>
      <c r="Q5" s="525">
        <f>Mitgl!Q13</f>
        <v>0</v>
      </c>
      <c r="R5" s="525">
        <f>Mitgl!R13</f>
        <v>0</v>
      </c>
      <c r="S5" s="525">
        <f>Mitgl!S13</f>
        <v>0</v>
      </c>
      <c r="T5" s="526">
        <f t="shared" si="0"/>
        <v>0</v>
      </c>
      <c r="U5" s="527"/>
      <c r="V5" s="525">
        <f>Mitgl!V13</f>
        <v>0</v>
      </c>
      <c r="W5" s="525">
        <f>Mitgl!W13</f>
        <v>0</v>
      </c>
      <c r="X5" s="525">
        <f>Mitgl!X13</f>
        <v>0</v>
      </c>
      <c r="Y5" s="525">
        <f>Mitgl!Y13</f>
        <v>0</v>
      </c>
      <c r="Z5" s="525">
        <f>Mitgl!Z13</f>
        <v>0</v>
      </c>
      <c r="AA5" s="525">
        <f>Mitgl!AA13</f>
        <v>0</v>
      </c>
      <c r="AB5" s="534">
        <f t="shared" ref="AB5:AB12" si="4">SUM(V5:AA5)</f>
        <v>0</v>
      </c>
      <c r="AC5" s="525">
        <f>Mitgl!AB13</f>
        <v>0</v>
      </c>
      <c r="AD5" s="525">
        <f>Mitgl!AC13</f>
        <v>0</v>
      </c>
      <c r="AE5" s="525">
        <f>Mitgl!AD13</f>
        <v>80986.751999999993</v>
      </c>
      <c r="AF5" s="525">
        <f>Mitgl!AE13</f>
        <v>93193.728000000003</v>
      </c>
      <c r="AG5" s="525">
        <f>Mitgl!AF13</f>
        <v>116014.08000000003</v>
      </c>
      <c r="AH5" s="525">
        <f>Mitgl!AG13</f>
        <v>99950.592000000004</v>
      </c>
      <c r="AI5" s="529">
        <f t="shared" ref="AI5:AI11" si="5">SUM(V5:AH5)-AB5</f>
        <v>390145.152</v>
      </c>
      <c r="AJ5" s="527"/>
      <c r="AK5" s="525">
        <f>Mitgl!AJ13</f>
        <v>100509.4637006603</v>
      </c>
      <c r="AL5" s="525">
        <f>Mitgl!AK13</f>
        <v>112689.27769993023</v>
      </c>
      <c r="AM5" s="525">
        <f>Mitgl!AL13</f>
        <v>118094.65839520958</v>
      </c>
      <c r="AN5" s="525">
        <f>Mitgl!AM13</f>
        <v>128194.92013107931</v>
      </c>
      <c r="AO5" s="525">
        <f>Mitgl!AN13</f>
        <v>130318.08872727273</v>
      </c>
      <c r="AP5" s="525">
        <f>Mitgl!AO13</f>
        <v>124960.81766207759</v>
      </c>
      <c r="AQ5" s="525">
        <f>Mitgl!AP13</f>
        <v>126512.44285397413</v>
      </c>
      <c r="AR5" s="525">
        <f>Mitgl!AQ13</f>
        <v>140935.8365444646</v>
      </c>
      <c r="AS5" s="525">
        <f>Mitgl!AR13</f>
        <v>144999.63787832254</v>
      </c>
      <c r="AT5" s="525">
        <f>Mitgl!AS13</f>
        <v>156443.66050455859</v>
      </c>
      <c r="AU5" s="525">
        <f>Mitgl!AT13</f>
        <v>188075.26984771571</v>
      </c>
      <c r="AV5" s="525">
        <f>Mitgl!AU13</f>
        <v>158395.20910482528</v>
      </c>
      <c r="AW5" s="530">
        <f t="shared" si="1"/>
        <v>1630129.2830500908</v>
      </c>
      <c r="AX5" s="527"/>
      <c r="AY5" s="525">
        <f>Mitgl!AX13</f>
        <v>165223.05326582055</v>
      </c>
      <c r="AZ5" s="525">
        <f>Mitgl!AY13</f>
        <v>171919.62118976796</v>
      </c>
      <c r="BA5" s="525">
        <f>Mitgl!AZ13</f>
        <v>180521.5274284984</v>
      </c>
      <c r="BB5" s="525">
        <f>Mitgl!BA13</f>
        <v>181752.54374077142</v>
      </c>
      <c r="BC5" s="525">
        <f>Mitgl!BB13</f>
        <v>181804.20177211615</v>
      </c>
      <c r="BD5" s="525">
        <f>Mitgl!BC13</f>
        <v>172015.55783569894</v>
      </c>
      <c r="BE5" s="525">
        <f>Mitgl!BD13</f>
        <v>173180.68997662287</v>
      </c>
      <c r="BF5" s="525">
        <f>Mitgl!BE13</f>
        <v>191709.124198023</v>
      </c>
      <c r="BG5" s="525">
        <f>Mitgl!BF13</f>
        <v>195014.89534153842</v>
      </c>
      <c r="BH5" s="525">
        <f>Mitgl!BG13</f>
        <v>206736.29222306478</v>
      </c>
      <c r="BI5" s="525">
        <f>Mitgl!BH13</f>
        <v>244402.64958768044</v>
      </c>
      <c r="BJ5" s="525">
        <f>Mitgl!BI13</f>
        <v>202873.43160878745</v>
      </c>
      <c r="BK5" s="532">
        <f t="shared" si="2"/>
        <v>2267153.5881683901</v>
      </c>
      <c r="BL5" s="527"/>
      <c r="BM5" s="525">
        <f>Mitgl!BL13</f>
        <v>209374.39978388671</v>
      </c>
      <c r="BN5" s="525">
        <f>Mitgl!BM13</f>
        <v>215735.53054217724</v>
      </c>
      <c r="BO5" s="525">
        <f>Mitgl!BN13</f>
        <v>224379.65619003354</v>
      </c>
      <c r="BP5" s="525">
        <f>Mitgl!BO13</f>
        <v>223822.38572066798</v>
      </c>
      <c r="BQ5" s="525">
        <f>Mitgl!BP13</f>
        <v>221871.42718254551</v>
      </c>
      <c r="BR5" s="525">
        <f>Mitgl!BQ13</f>
        <v>208085.27682854174</v>
      </c>
      <c r="BS5" s="525">
        <f>Mitgl!BR13</f>
        <v>207705.03772200007</v>
      </c>
      <c r="BT5" s="525">
        <f>Mitgl!BS13</f>
        <v>228012.3232269474</v>
      </c>
      <c r="BU5" s="525">
        <f>Mitgl!BT13</f>
        <v>230060.34743009115</v>
      </c>
      <c r="BV5" s="525">
        <f>Mitgl!BU13</f>
        <v>241955.9269763921</v>
      </c>
      <c r="BW5" s="525">
        <f>Mitgl!BV13</f>
        <v>283827.78314158728</v>
      </c>
      <c r="BX5" s="525">
        <f>Mitgl!BW13</f>
        <v>233821.51666409461</v>
      </c>
      <c r="BY5" s="533">
        <f t="shared" si="3"/>
        <v>2728651.6114089657</v>
      </c>
      <c r="BZ5" s="33">
        <f>Mitgl!CL13</f>
        <v>3026824.389388151</v>
      </c>
      <c r="CA5" s="33">
        <f>Mitgl!CZ13</f>
        <v>3325744.7268897118</v>
      </c>
      <c r="CB5" s="33"/>
      <c r="CC5" s="33"/>
      <c r="CD5" s="33"/>
    </row>
    <row r="6" spans="1:82" ht="14.25" customHeight="1" x14ac:dyDescent="0.4">
      <c r="B6" s="30" t="s">
        <v>364</v>
      </c>
      <c r="H6" s="525">
        <f>+Mitgl!H30</f>
        <v>-2380</v>
      </c>
      <c r="I6" s="525">
        <f>+Mitgl!I30</f>
        <v>13740</v>
      </c>
      <c r="J6" s="525">
        <f>+Mitgl!J30</f>
        <v>9440</v>
      </c>
      <c r="K6" s="525">
        <f>+Mitgl!K30</f>
        <v>18420</v>
      </c>
      <c r="L6" s="525">
        <f>+Mitgl!L30</f>
        <v>0</v>
      </c>
      <c r="M6" s="525">
        <f>+Mitgl!M30</f>
        <v>2020</v>
      </c>
      <c r="N6" s="525">
        <f>+Mitgl!N30</f>
        <v>0</v>
      </c>
      <c r="O6" s="525">
        <f>+Mitgl!O30</f>
        <v>9040</v>
      </c>
      <c r="P6" s="525">
        <f>+Mitgl!P30</f>
        <v>6240</v>
      </c>
      <c r="Q6" s="525">
        <f>+Mitgl!Q30</f>
        <v>18820</v>
      </c>
      <c r="R6" s="525">
        <f>+Mitgl!R30</f>
        <v>2460</v>
      </c>
      <c r="S6" s="525">
        <f>+Mitgl!S30</f>
        <v>3100</v>
      </c>
      <c r="T6" s="526">
        <f t="shared" si="0"/>
        <v>80900</v>
      </c>
      <c r="U6" s="527"/>
      <c r="V6" s="525">
        <f>+Mitgl!V30</f>
        <v>2400</v>
      </c>
      <c r="W6" s="525">
        <f>+Mitgl!W30</f>
        <v>3740</v>
      </c>
      <c r="X6" s="525">
        <f>+Mitgl!X30</f>
        <v>3780</v>
      </c>
      <c r="Y6" s="525">
        <f>+Mitgl!Y30</f>
        <v>2060</v>
      </c>
      <c r="Z6" s="525">
        <f>+Mitgl!Z30</f>
        <v>5800</v>
      </c>
      <c r="AA6" s="525">
        <f>+Mitgl!AA30</f>
        <v>1720</v>
      </c>
      <c r="AB6" s="534">
        <f t="shared" si="4"/>
        <v>19500</v>
      </c>
      <c r="AC6" s="525">
        <f>+Mitgl!AB30</f>
        <v>1700</v>
      </c>
      <c r="AD6" s="525">
        <f>+Mitgl!AC30</f>
        <v>3420</v>
      </c>
      <c r="AE6" s="525">
        <f>+Mitgl!AD30</f>
        <v>20500</v>
      </c>
      <c r="AF6" s="525">
        <f>+Mitgl!AE30</f>
        <v>13680</v>
      </c>
      <c r="AG6" s="525">
        <f>+Mitgl!AF30</f>
        <v>10260</v>
      </c>
      <c r="AH6" s="525">
        <f>+Mitgl!AG30</f>
        <v>8540</v>
      </c>
      <c r="AI6" s="529">
        <f t="shared" si="5"/>
        <v>77600</v>
      </c>
      <c r="AJ6" s="527"/>
      <c r="AK6" s="525">
        <f>+Mitgl!AJ30</f>
        <v>7970</v>
      </c>
      <c r="AL6" s="525">
        <f>+Mitgl!AK30</f>
        <v>11088</v>
      </c>
      <c r="AM6" s="525">
        <f>+Mitgl!AL30</f>
        <v>11046</v>
      </c>
      <c r="AN6" s="525">
        <f>+Mitgl!AM30</f>
        <v>5523</v>
      </c>
      <c r="AO6" s="525">
        <f>+Mitgl!AN30</f>
        <v>5523</v>
      </c>
      <c r="AP6" s="525">
        <f>+Mitgl!AO30</f>
        <v>3945</v>
      </c>
      <c r="AQ6" s="525">
        <f>+Mitgl!AP30</f>
        <v>3945</v>
      </c>
      <c r="AR6" s="525">
        <f>+Mitgl!AQ30</f>
        <v>4734</v>
      </c>
      <c r="AS6" s="525">
        <f>+Mitgl!AR30</f>
        <v>6311.9999999999991</v>
      </c>
      <c r="AT6" s="525">
        <f>+Mitgl!AS30</f>
        <v>36312</v>
      </c>
      <c r="AU6" s="525">
        <f>+Mitgl!AT30</f>
        <v>36312</v>
      </c>
      <c r="AV6" s="525">
        <f>+Mitgl!AU30</f>
        <v>44734</v>
      </c>
      <c r="AW6" s="530">
        <f t="shared" si="1"/>
        <v>177444</v>
      </c>
      <c r="AX6" s="527"/>
      <c r="AY6" s="525">
        <f>+Mitgl!AX30</f>
        <v>3945</v>
      </c>
      <c r="AZ6" s="525">
        <f>+Mitgl!AY30</f>
        <v>3945</v>
      </c>
      <c r="BA6" s="525">
        <f>+Mitgl!AZ30</f>
        <v>3945</v>
      </c>
      <c r="BB6" s="525">
        <f>+Mitgl!BA30</f>
        <v>3945</v>
      </c>
      <c r="BC6" s="525">
        <f>+Mitgl!BB30</f>
        <v>3945</v>
      </c>
      <c r="BD6" s="525">
        <f>+Mitgl!BC30</f>
        <v>12452.103999999999</v>
      </c>
      <c r="BE6" s="525">
        <f>+Mitgl!BD30</f>
        <v>3945</v>
      </c>
      <c r="BF6" s="525">
        <f>+Mitgl!BE30</f>
        <v>3945</v>
      </c>
      <c r="BG6" s="525">
        <f>+Mitgl!BF30</f>
        <v>3945</v>
      </c>
      <c r="BH6" s="525">
        <f>+Mitgl!BG30</f>
        <v>3945</v>
      </c>
      <c r="BI6" s="525">
        <f>+Mitgl!BH30</f>
        <v>12452.103999999999</v>
      </c>
      <c r="BJ6" s="525">
        <f>+Mitgl!BI30</f>
        <v>12452.103999999999</v>
      </c>
      <c r="BK6" s="532">
        <f t="shared" si="2"/>
        <v>72861.312000000005</v>
      </c>
      <c r="BL6" s="527"/>
      <c r="BM6" s="525">
        <f>+Mitgl!BL30</f>
        <v>2367</v>
      </c>
      <c r="BN6" s="525">
        <f>+Mitgl!BM30</f>
        <v>2367</v>
      </c>
      <c r="BO6" s="525">
        <f>+Mitgl!BN30</f>
        <v>2367</v>
      </c>
      <c r="BP6" s="525">
        <f>+Mitgl!BO30</f>
        <v>2367</v>
      </c>
      <c r="BQ6" s="525">
        <f>+Mitgl!BP30</f>
        <v>2367</v>
      </c>
      <c r="BR6" s="525">
        <f>+Mitgl!BQ30</f>
        <v>2367</v>
      </c>
      <c r="BS6" s="525">
        <f>+Mitgl!BR30</f>
        <v>2367</v>
      </c>
      <c r="BT6" s="525">
        <f>+Mitgl!BS30</f>
        <v>2367</v>
      </c>
      <c r="BU6" s="525">
        <f>+Mitgl!BT30</f>
        <v>2367</v>
      </c>
      <c r="BV6" s="525">
        <f>+Mitgl!BU30</f>
        <v>2367</v>
      </c>
      <c r="BW6" s="525">
        <f>+Mitgl!BV30</f>
        <v>2367</v>
      </c>
      <c r="BX6" s="525">
        <f>+Mitgl!BW30</f>
        <v>2367</v>
      </c>
      <c r="BY6" s="533">
        <f t="shared" si="3"/>
        <v>28404</v>
      </c>
      <c r="BZ6" s="33">
        <f>Mitgl!CL30</f>
        <v>28404</v>
      </c>
      <c r="CA6" s="33">
        <f>Mitgl!CZ30</f>
        <v>28404</v>
      </c>
      <c r="CB6" s="33"/>
      <c r="CC6" s="33"/>
      <c r="CD6" s="33"/>
    </row>
    <row r="7" spans="1:82" ht="14.25" customHeight="1" x14ac:dyDescent="0.4">
      <c r="B7" s="30" t="s">
        <v>485</v>
      </c>
      <c r="H7" s="525">
        <f>+Foerdergn!H21</f>
        <v>0</v>
      </c>
      <c r="I7" s="525">
        <f>+Foerdergn!I21</f>
        <v>0</v>
      </c>
      <c r="J7" s="525">
        <f>+Foerdergn!J21</f>
        <v>0</v>
      </c>
      <c r="K7" s="525">
        <f>+Foerdergn!K21</f>
        <v>0</v>
      </c>
      <c r="L7" s="525">
        <f>+Foerdergn!L21</f>
        <v>0</v>
      </c>
      <c r="M7" s="525">
        <f>+Foerdergn!M21</f>
        <v>0</v>
      </c>
      <c r="N7" s="525">
        <f>+Foerdergn!N21</f>
        <v>0</v>
      </c>
      <c r="O7" s="525">
        <f>+Foerdergn!O21</f>
        <v>0</v>
      </c>
      <c r="P7" s="525">
        <f>+Foerdergn!P21</f>
        <v>55000</v>
      </c>
      <c r="Q7" s="525">
        <f>+Foerdergn!Q21</f>
        <v>45740</v>
      </c>
      <c r="R7" s="525">
        <f>+Foerdergn!R21</f>
        <v>11869</v>
      </c>
      <c r="S7" s="525">
        <f>+Foerdergn!S21</f>
        <v>10000</v>
      </c>
      <c r="T7" s="526">
        <f t="shared" si="0"/>
        <v>122609</v>
      </c>
      <c r="U7" s="527"/>
      <c r="V7" s="525">
        <f>+Foerdergn!V21</f>
        <v>7190</v>
      </c>
      <c r="W7" s="525">
        <f>+Foerdergn!W21</f>
        <v>0</v>
      </c>
      <c r="X7" s="525">
        <f>+Foerdergn!X21</f>
        <v>25000</v>
      </c>
      <c r="Y7" s="525">
        <f>+Foerdergn!Y21</f>
        <v>15450</v>
      </c>
      <c r="Z7" s="525">
        <f>+Foerdergn!Z21</f>
        <v>0</v>
      </c>
      <c r="AA7" s="525">
        <f>+Foerdergn!AA21</f>
        <v>0</v>
      </c>
      <c r="AB7" s="534">
        <f t="shared" si="4"/>
        <v>47640</v>
      </c>
      <c r="AC7" s="525">
        <f>+Foerdergn!AB21</f>
        <v>0</v>
      </c>
      <c r="AD7" s="525">
        <f>+Foerdergn!AC21</f>
        <v>0</v>
      </c>
      <c r="AE7" s="525">
        <f>+Foerdergn!AD21</f>
        <v>0</v>
      </c>
      <c r="AF7" s="525">
        <f>+Foerdergn!AE21</f>
        <v>0</v>
      </c>
      <c r="AG7" s="525">
        <f>+Foerdergn!AF21</f>
        <v>27500</v>
      </c>
      <c r="AH7" s="525">
        <f>+Foerdergn!AG21</f>
        <v>17500</v>
      </c>
      <c r="AI7" s="529">
        <f t="shared" si="5"/>
        <v>92640</v>
      </c>
      <c r="AJ7" s="527"/>
      <c r="AK7" s="525">
        <f>+Foerdergn!AJ21</f>
        <v>0</v>
      </c>
      <c r="AL7" s="525">
        <f>+Foerdergn!AK21</f>
        <v>42500</v>
      </c>
      <c r="AM7" s="525">
        <f>+Foerdergn!AL21</f>
        <v>10250</v>
      </c>
      <c r="AN7" s="525">
        <f>+Foerdergn!AM21</f>
        <v>15000</v>
      </c>
      <c r="AO7" s="525">
        <f>+Foerdergn!AN21</f>
        <v>0</v>
      </c>
      <c r="AP7" s="525">
        <f>+Foerdergn!AO21</f>
        <v>0</v>
      </c>
      <c r="AQ7" s="525">
        <f>+Foerdergn!AP21</f>
        <v>6375</v>
      </c>
      <c r="AR7" s="525">
        <f>+Foerdergn!AQ21</f>
        <v>0</v>
      </c>
      <c r="AS7" s="525">
        <f>+Foerdergn!AR21</f>
        <v>0</v>
      </c>
      <c r="AT7" s="525">
        <f>+Foerdergn!AS21</f>
        <v>0</v>
      </c>
      <c r="AU7" s="525">
        <f>+Foerdergn!AT21</f>
        <v>0</v>
      </c>
      <c r="AV7" s="525">
        <f>+Foerdergn!AU21</f>
        <v>0</v>
      </c>
      <c r="AW7" s="530">
        <f t="shared" si="1"/>
        <v>74125</v>
      </c>
      <c r="AX7" s="527"/>
      <c r="AY7" s="535" t="s">
        <v>568</v>
      </c>
      <c r="AZ7" s="277"/>
      <c r="BA7" s="277"/>
      <c r="BB7" s="277"/>
      <c r="BC7" s="277"/>
      <c r="BD7" s="277"/>
      <c r="BE7" s="277"/>
      <c r="BF7" s="277"/>
      <c r="BG7" s="277"/>
      <c r="BH7" s="277"/>
      <c r="BI7" s="277"/>
      <c r="BJ7" s="277"/>
      <c r="BK7" s="532">
        <f t="shared" si="2"/>
        <v>0</v>
      </c>
      <c r="BL7" s="527"/>
      <c r="BM7" s="277"/>
      <c r="BN7" s="277"/>
      <c r="BO7" s="277"/>
      <c r="BP7" s="277"/>
      <c r="BQ7" s="277"/>
      <c r="BR7" s="277"/>
      <c r="BS7" s="277"/>
      <c r="BT7" s="277"/>
      <c r="BU7" s="277"/>
      <c r="BV7" s="277"/>
      <c r="BW7" s="277"/>
      <c r="BX7" s="277"/>
      <c r="BY7" s="533">
        <f t="shared" si="3"/>
        <v>0</v>
      </c>
      <c r="BZ7" s="33"/>
      <c r="CA7" s="33"/>
      <c r="CB7" s="33"/>
      <c r="CC7" s="33"/>
      <c r="CD7" s="33"/>
    </row>
    <row r="8" spans="1:82" ht="14.25" customHeight="1" x14ac:dyDescent="0.4">
      <c r="A8" s="194">
        <v>2</v>
      </c>
      <c r="B8" s="30" t="s">
        <v>569</v>
      </c>
      <c r="H8" s="277">
        <f>+Bil!D16+Bil!D17+Bil!D22</f>
        <v>31969.93</v>
      </c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>
        <f>-Bil!F61</f>
        <v>-60092.72</v>
      </c>
      <c r="T8" s="527">
        <f t="shared" si="0"/>
        <v>-28122.79</v>
      </c>
      <c r="U8" s="527"/>
      <c r="V8" s="277">
        <f>-S8</f>
        <v>60092.72</v>
      </c>
      <c r="W8" s="277"/>
      <c r="X8" s="277"/>
      <c r="Y8" s="277"/>
      <c r="Z8" s="277"/>
      <c r="AA8" s="277"/>
      <c r="AB8" s="536">
        <f t="shared" si="4"/>
        <v>60092.72</v>
      </c>
      <c r="AC8" s="277"/>
      <c r="AD8" s="277"/>
      <c r="AE8" s="277"/>
      <c r="AF8" s="277"/>
      <c r="AG8" s="277"/>
      <c r="AH8" s="277"/>
      <c r="AI8" s="527">
        <f t="shared" si="5"/>
        <v>60092.72</v>
      </c>
      <c r="AJ8" s="527"/>
      <c r="AK8" s="277"/>
      <c r="AL8" s="277"/>
      <c r="AM8" s="277"/>
      <c r="AN8" s="277"/>
      <c r="AO8" s="277"/>
      <c r="AP8" s="277"/>
      <c r="AQ8" s="277"/>
      <c r="AR8" s="277"/>
      <c r="AS8" s="277"/>
      <c r="AT8" s="277"/>
      <c r="AU8" s="277"/>
      <c r="AV8" s="277"/>
      <c r="AW8" s="527">
        <f t="shared" si="1"/>
        <v>0</v>
      </c>
      <c r="AX8" s="52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527">
        <f t="shared" si="2"/>
        <v>0</v>
      </c>
      <c r="BL8" s="52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527">
        <f t="shared" si="3"/>
        <v>0</v>
      </c>
      <c r="BZ8" s="33"/>
      <c r="CA8" s="33"/>
      <c r="CB8" s="33"/>
      <c r="CC8" s="33"/>
      <c r="CD8" s="33"/>
    </row>
    <row r="9" spans="1:82" ht="14.25" customHeight="1" x14ac:dyDescent="0.4">
      <c r="A9" s="194">
        <v>3</v>
      </c>
      <c r="B9" s="537" t="s">
        <v>570</v>
      </c>
      <c r="C9" s="537"/>
      <c r="D9" s="537"/>
      <c r="E9" s="537"/>
      <c r="F9" s="537"/>
      <c r="G9" s="537"/>
      <c r="H9" s="538">
        <f>Finanz!H5</f>
        <v>0</v>
      </c>
      <c r="I9" s="538">
        <f>Finanz!I5</f>
        <v>8000</v>
      </c>
      <c r="J9" s="538">
        <f>Finanz!J5</f>
        <v>0</v>
      </c>
      <c r="K9" s="538">
        <f>Finanz!K5</f>
        <v>0</v>
      </c>
      <c r="L9" s="538">
        <f>Finanz!L5</f>
        <v>0</v>
      </c>
      <c r="M9" s="538">
        <f>Finanz!M5</f>
        <v>-1000</v>
      </c>
      <c r="N9" s="538">
        <f>Finanz!N5</f>
        <v>10000</v>
      </c>
      <c r="O9" s="538">
        <f>Finanz!O5</f>
        <v>8000</v>
      </c>
      <c r="P9" s="538">
        <f>Finanz!P5</f>
        <v>25100</v>
      </c>
      <c r="Q9" s="538">
        <f>Finanz!Q5</f>
        <v>21800</v>
      </c>
      <c r="R9" s="538">
        <f>Finanz!R5</f>
        <v>2500</v>
      </c>
      <c r="S9" s="538">
        <f>Finanz!S5</f>
        <v>55500</v>
      </c>
      <c r="T9" s="539">
        <f t="shared" si="0"/>
        <v>129900</v>
      </c>
      <c r="U9" s="540"/>
      <c r="V9" s="538">
        <f>Finanz!V5</f>
        <v>79799</v>
      </c>
      <c r="W9" s="538">
        <f>Finanz!W5</f>
        <v>154100</v>
      </c>
      <c r="X9" s="538">
        <f>Finanz!X5</f>
        <v>61500</v>
      </c>
      <c r="Y9" s="538">
        <f>Finanz!Y5</f>
        <v>5000</v>
      </c>
      <c r="Z9" s="538">
        <f>Finanz!Z5</f>
        <v>0</v>
      </c>
      <c r="AA9" s="538">
        <f>Finanz!AA5</f>
        <v>0</v>
      </c>
      <c r="AB9" s="534">
        <f t="shared" si="4"/>
        <v>300399</v>
      </c>
      <c r="AC9" s="538">
        <f>Finanz!AB5</f>
        <v>0</v>
      </c>
      <c r="AD9" s="538">
        <f>Finanz!AC5</f>
        <v>50000</v>
      </c>
      <c r="AE9" s="538">
        <f>Finanz!AD5</f>
        <v>0</v>
      </c>
      <c r="AF9" s="538">
        <f>Finanz!AE5</f>
        <v>0</v>
      </c>
      <c r="AG9" s="538">
        <f>Finanz!AF5</f>
        <v>0</v>
      </c>
      <c r="AH9" s="538">
        <f>Finanz!AG5</f>
        <v>0</v>
      </c>
      <c r="AI9" s="529">
        <f t="shared" si="5"/>
        <v>350399</v>
      </c>
      <c r="AJ9" s="540"/>
      <c r="AK9" s="538">
        <f>Finanz!AJ5</f>
        <v>0</v>
      </c>
      <c r="AL9" s="538">
        <f>Finanz!AK5</f>
        <v>0</v>
      </c>
      <c r="AM9" s="538">
        <f>Finanz!AL5</f>
        <v>-50000</v>
      </c>
      <c r="AN9" s="538">
        <f>Finanz!AM5</f>
        <v>100000</v>
      </c>
      <c r="AO9" s="538">
        <f>Finanz!AN5</f>
        <v>80000</v>
      </c>
      <c r="AP9" s="538">
        <f>Finanz!AO5</f>
        <v>50000</v>
      </c>
      <c r="AQ9" s="538">
        <f>Finanz!AP5</f>
        <v>70000</v>
      </c>
      <c r="AR9" s="538">
        <f>Finanz!AQ5</f>
        <v>-10000</v>
      </c>
      <c r="AS9" s="538">
        <f>Finanz!AR5</f>
        <v>-10000</v>
      </c>
      <c r="AT9" s="538">
        <f>Finanz!AS5</f>
        <v>-30000</v>
      </c>
      <c r="AU9" s="538">
        <f>Finanz!AT5</f>
        <v>-30000</v>
      </c>
      <c r="AV9" s="538">
        <f>Finanz!AU5</f>
        <v>-40000</v>
      </c>
      <c r="AW9" s="541">
        <f t="shared" si="1"/>
        <v>130000</v>
      </c>
      <c r="AX9" s="540"/>
      <c r="AY9" s="538">
        <f>Finanz!AX5</f>
        <v>-8507.1039999999994</v>
      </c>
      <c r="AZ9" s="538">
        <f>Finanz!AY5</f>
        <v>-8507.1039999999994</v>
      </c>
      <c r="BA9" s="538">
        <f>Finanz!AZ5</f>
        <v>-8507.1039999999994</v>
      </c>
      <c r="BB9" s="538">
        <f>Finanz!BA5</f>
        <v>-8507.1039999999994</v>
      </c>
      <c r="BC9" s="538">
        <f>Finanz!BB5</f>
        <v>-8507.1039999999994</v>
      </c>
      <c r="BD9" s="538">
        <f>Finanz!BC5</f>
        <v>-8507.1039999999994</v>
      </c>
      <c r="BE9" s="538">
        <f>Finanz!BD5</f>
        <v>-8507.1039999999994</v>
      </c>
      <c r="BF9" s="538">
        <f>Finanz!BE5</f>
        <v>-8507.1039999999994</v>
      </c>
      <c r="BG9" s="538">
        <f>Finanz!BF5</f>
        <v>-8507.1039999999994</v>
      </c>
      <c r="BH9" s="538">
        <f>Finanz!BG5</f>
        <v>-8507.1039999999994</v>
      </c>
      <c r="BI9" s="538">
        <f>Finanz!BH5</f>
        <v>-17014.207999999999</v>
      </c>
      <c r="BJ9" s="538">
        <f>Finanz!BI5</f>
        <v>-17014.207999999999</v>
      </c>
      <c r="BK9" s="542">
        <f t="shared" si="2"/>
        <v>-119099.45599999998</v>
      </c>
      <c r="BL9" s="540"/>
      <c r="BM9" s="538">
        <f>Finanz!BL5</f>
        <v>-9442.8854399999964</v>
      </c>
      <c r="BN9" s="538">
        <f>Finanz!BM5</f>
        <v>-9442.8854399999964</v>
      </c>
      <c r="BO9" s="538">
        <f>Finanz!BN5</f>
        <v>-9442.8854399999964</v>
      </c>
      <c r="BP9" s="538">
        <f>Finanz!BO5</f>
        <v>-9442.8854399999964</v>
      </c>
      <c r="BQ9" s="538">
        <f>Finanz!BP5</f>
        <v>-9442.8854399999964</v>
      </c>
      <c r="BR9" s="538">
        <f>Finanz!BQ5</f>
        <v>-9442.8854399999964</v>
      </c>
      <c r="BS9" s="538">
        <f>Finanz!BR5</f>
        <v>-9442.8854399999964</v>
      </c>
      <c r="BT9" s="538">
        <f>Finanz!BS5</f>
        <v>-9442.8854399999964</v>
      </c>
      <c r="BU9" s="538">
        <f>Finanz!BT5</f>
        <v>-9442.8854399999964</v>
      </c>
      <c r="BV9" s="538">
        <f>Finanz!BU5</f>
        <v>-9442.8854399999964</v>
      </c>
      <c r="BW9" s="538">
        <f>Finanz!BV5</f>
        <v>-9442.8854399999964</v>
      </c>
      <c r="BX9" s="538">
        <f>Finanz!BW5</f>
        <v>-9442.8854399999964</v>
      </c>
      <c r="BY9" s="543">
        <f t="shared" si="3"/>
        <v>-113314.62527999996</v>
      </c>
      <c r="BZ9" s="33">
        <f>Finanz!CK5</f>
        <v>-149575.30536959996</v>
      </c>
      <c r="CA9" s="33">
        <f>Finanz!CX5</f>
        <v>-127606.56000000004</v>
      </c>
      <c r="CB9" s="33"/>
      <c r="CC9" s="33"/>
      <c r="CD9" s="33"/>
    </row>
    <row r="10" spans="1:82" ht="14.25" customHeight="1" x14ac:dyDescent="0.4">
      <c r="A10" s="194">
        <v>3</v>
      </c>
      <c r="B10" s="30" t="s">
        <v>571</v>
      </c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526">
        <f t="shared" si="0"/>
        <v>0</v>
      </c>
      <c r="U10" s="527"/>
      <c r="V10" s="277"/>
      <c r="W10" s="277"/>
      <c r="X10" s="525">
        <f>Finanz!X14</f>
        <v>0</v>
      </c>
      <c r="Y10" s="277"/>
      <c r="Z10" s="277"/>
      <c r="AA10" s="277">
        <f>+Finanz!AA14</f>
        <v>200000</v>
      </c>
      <c r="AB10" s="534">
        <f t="shared" si="4"/>
        <v>200000</v>
      </c>
      <c r="AC10" s="277"/>
      <c r="AD10" s="277"/>
      <c r="AE10" s="277"/>
      <c r="AF10" s="277"/>
      <c r="AG10" s="277"/>
      <c r="AH10" s="277"/>
      <c r="AI10" s="529">
        <f t="shared" si="5"/>
        <v>200000</v>
      </c>
      <c r="AJ10" s="527"/>
      <c r="AK10" s="277"/>
      <c r="AL10" s="277"/>
      <c r="AM10" s="277"/>
      <c r="AN10" s="277"/>
      <c r="AO10" s="277"/>
      <c r="AP10" s="277"/>
      <c r="AQ10" s="277"/>
      <c r="AR10" s="277"/>
      <c r="AS10" s="277"/>
      <c r="AT10" s="277"/>
      <c r="AU10" s="277"/>
      <c r="AV10" s="277"/>
      <c r="AW10" s="530">
        <f t="shared" si="1"/>
        <v>0</v>
      </c>
      <c r="AX10" s="527"/>
      <c r="AY10" s="277"/>
      <c r="AZ10" s="277"/>
      <c r="BA10" s="277"/>
      <c r="BB10" s="277"/>
      <c r="BC10" s="277"/>
      <c r="BD10" s="277"/>
      <c r="BE10" s="277"/>
      <c r="BF10" s="277"/>
      <c r="BG10" s="277"/>
      <c r="BH10" s="277"/>
      <c r="BI10" s="277"/>
      <c r="BJ10" s="277"/>
      <c r="BK10" s="532">
        <f t="shared" si="2"/>
        <v>0</v>
      </c>
      <c r="BL10" s="52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533">
        <f t="shared" si="3"/>
        <v>0</v>
      </c>
      <c r="BZ10" s="33"/>
      <c r="CA10" s="33"/>
      <c r="CB10" s="33"/>
      <c r="CC10" s="33"/>
      <c r="CD10" s="33"/>
    </row>
    <row r="11" spans="1:82" ht="14.25" customHeight="1" x14ac:dyDescent="0.4">
      <c r="A11" s="194">
        <v>3</v>
      </c>
      <c r="B11" s="30" t="s">
        <v>572</v>
      </c>
      <c r="H11" s="277"/>
      <c r="I11" s="277"/>
      <c r="J11" s="277"/>
      <c r="K11" s="277"/>
      <c r="L11" s="277"/>
      <c r="M11" s="277"/>
      <c r="N11" s="277"/>
      <c r="O11" s="277"/>
      <c r="P11" s="277"/>
      <c r="Q11" s="277"/>
      <c r="R11" s="277"/>
      <c r="S11" s="277"/>
      <c r="T11" s="526">
        <f t="shared" si="0"/>
        <v>0</v>
      </c>
      <c r="U11" s="527"/>
      <c r="V11" s="544"/>
      <c r="W11" s="277"/>
      <c r="X11" s="277">
        <f>Finanz!X8</f>
        <v>0</v>
      </c>
      <c r="Y11" s="277">
        <f>Finanz!Y8</f>
        <v>0</v>
      </c>
      <c r="Z11" s="277">
        <v>0</v>
      </c>
      <c r="AA11" s="277"/>
      <c r="AB11" s="534">
        <f t="shared" si="4"/>
        <v>0</v>
      </c>
      <c r="AC11" s="277">
        <f>Finanz!AB8</f>
        <v>0</v>
      </c>
      <c r="AD11" s="277">
        <f>Finanz!AC8</f>
        <v>0</v>
      </c>
      <c r="AE11" s="277">
        <f>Finanz!AD8</f>
        <v>0</v>
      </c>
      <c r="AF11" s="277">
        <f>Finanz!AE8</f>
        <v>0</v>
      </c>
      <c r="AG11" s="277">
        <f>Finanz!AF8</f>
        <v>0</v>
      </c>
      <c r="AH11" s="277">
        <f>Finanz!AG8</f>
        <v>0</v>
      </c>
      <c r="AI11" s="529">
        <f t="shared" si="5"/>
        <v>0</v>
      </c>
      <c r="AJ11" s="527"/>
      <c r="AK11" s="277"/>
      <c r="AL11" s="277"/>
      <c r="AM11" s="277"/>
      <c r="AN11" s="277"/>
      <c r="AO11" s="277"/>
      <c r="AP11" s="277"/>
      <c r="AQ11" s="277"/>
      <c r="AR11" s="277"/>
      <c r="AS11" s="277"/>
      <c r="AT11" s="277"/>
      <c r="AU11" s="277"/>
      <c r="AV11" s="277"/>
      <c r="AW11" s="530">
        <f t="shared" si="1"/>
        <v>0</v>
      </c>
      <c r="AX11" s="527"/>
      <c r="AY11" s="277"/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J11" s="277"/>
      <c r="BK11" s="532">
        <f t="shared" si="2"/>
        <v>0</v>
      </c>
      <c r="BL11" s="52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533">
        <f t="shared" si="3"/>
        <v>0</v>
      </c>
      <c r="BZ11" s="33"/>
      <c r="CA11" s="33"/>
      <c r="CB11" s="33"/>
      <c r="CC11" s="33"/>
      <c r="CD11" s="33"/>
    </row>
    <row r="12" spans="1:82" s="263" customFormat="1" ht="14.25" customHeight="1" x14ac:dyDescent="0.4">
      <c r="A12" s="545">
        <v>3</v>
      </c>
      <c r="B12" s="263" t="s">
        <v>121</v>
      </c>
      <c r="H12" s="546"/>
      <c r="I12" s="546"/>
      <c r="J12" s="546"/>
      <c r="K12" s="546"/>
      <c r="L12" s="546"/>
      <c r="M12" s="546"/>
      <c r="N12" s="546"/>
      <c r="O12" s="546"/>
      <c r="P12" s="546"/>
      <c r="Q12" s="546"/>
      <c r="R12" s="546"/>
      <c r="S12" s="546"/>
      <c r="T12" s="547">
        <f t="shared" si="0"/>
        <v>0</v>
      </c>
      <c r="U12" s="547"/>
      <c r="V12" s="546"/>
      <c r="W12" s="548"/>
      <c r="X12" s="546"/>
      <c r="Y12" s="546"/>
      <c r="Z12" s="546"/>
      <c r="AA12" s="546"/>
      <c r="AB12" s="549">
        <f t="shared" si="4"/>
        <v>0</v>
      </c>
      <c r="AC12" s="546"/>
      <c r="AD12" s="546"/>
      <c r="AE12" s="546">
        <f>Mitgl!AD15</f>
        <v>-9090.9090909090901</v>
      </c>
      <c r="AF12" s="546">
        <f>Mitgl!AE15</f>
        <v>-4545.454545454545</v>
      </c>
      <c r="AG12" s="546">
        <f>Mitgl!AF15</f>
        <v>-4545.454545454545</v>
      </c>
      <c r="AH12" s="546">
        <f>Mitgl!AG15</f>
        <v>-4545.454545454545</v>
      </c>
      <c r="AI12" s="547">
        <f>SUM(V12:AH12)-AB12</f>
        <v>-22727.272727272724</v>
      </c>
      <c r="AJ12" s="547"/>
      <c r="AK12" s="546">
        <v>-2000</v>
      </c>
      <c r="AL12" s="546">
        <v>-2000</v>
      </c>
      <c r="AM12" s="546">
        <v>-2000</v>
      </c>
      <c r="AN12" s="546">
        <v>-1000</v>
      </c>
      <c r="AO12" s="546">
        <v>-1000</v>
      </c>
      <c r="AP12" s="546">
        <v>-1000</v>
      </c>
      <c r="AQ12" s="546"/>
      <c r="AR12" s="546">
        <v>-1000</v>
      </c>
      <c r="AS12" s="546"/>
      <c r="AT12" s="546">
        <v>2000</v>
      </c>
      <c r="AU12" s="546">
        <v>5000</v>
      </c>
      <c r="AV12" s="546">
        <v>-1000</v>
      </c>
      <c r="AW12" s="547">
        <f>SUM(AK12:AV12)+AI12</f>
        <v>-26727.272727272724</v>
      </c>
      <c r="AX12" s="547"/>
      <c r="AY12" s="546"/>
      <c r="AZ12" s="546"/>
      <c r="BA12" s="546"/>
      <c r="BB12" s="546"/>
      <c r="BC12" s="546"/>
      <c r="BD12" s="546"/>
      <c r="BE12" s="546"/>
      <c r="BF12" s="546"/>
      <c r="BG12" s="546"/>
      <c r="BH12" s="546"/>
      <c r="BI12" s="546"/>
      <c r="BJ12" s="546"/>
      <c r="BK12" s="547">
        <f t="shared" si="2"/>
        <v>0</v>
      </c>
      <c r="BL12" s="547"/>
      <c r="BM12" s="546"/>
      <c r="BN12" s="546"/>
      <c r="BO12" s="546"/>
      <c r="BP12" s="546"/>
      <c r="BQ12" s="546"/>
      <c r="BR12" s="546"/>
      <c r="BS12" s="546"/>
      <c r="BT12" s="546"/>
      <c r="BU12" s="546"/>
      <c r="BV12" s="546"/>
      <c r="BW12" s="546"/>
      <c r="BX12" s="546"/>
      <c r="BY12" s="547">
        <f t="shared" si="3"/>
        <v>0</v>
      </c>
      <c r="BZ12" s="138"/>
      <c r="CA12" s="138"/>
      <c r="CB12" s="138"/>
      <c r="CC12" s="138"/>
      <c r="CD12" s="138"/>
    </row>
    <row r="13" spans="1:82" s="263" customFormat="1" ht="14.25" customHeight="1" x14ac:dyDescent="0.4">
      <c r="A13" s="545">
        <v>3</v>
      </c>
      <c r="B13" s="263" t="s">
        <v>573</v>
      </c>
      <c r="H13" s="546"/>
      <c r="I13" s="546"/>
      <c r="J13" s="546"/>
      <c r="K13" s="546"/>
      <c r="L13" s="546"/>
      <c r="M13" s="546"/>
      <c r="N13" s="546"/>
      <c r="O13" s="546"/>
      <c r="P13" s="546"/>
      <c r="Q13" s="546"/>
      <c r="R13" s="546"/>
      <c r="S13" s="546"/>
      <c r="T13" s="547"/>
      <c r="U13" s="547"/>
      <c r="V13" s="546"/>
      <c r="W13" s="548"/>
      <c r="X13" s="546"/>
      <c r="Y13" s="546"/>
      <c r="Z13" s="546"/>
      <c r="AA13" s="546"/>
      <c r="AB13" s="549"/>
      <c r="AC13" s="546"/>
      <c r="AD13" s="546"/>
      <c r="AE13" s="550">
        <v>10655.61</v>
      </c>
      <c r="AF13" s="546">
        <f>18501.42-AE13</f>
        <v>7845.8099999999977</v>
      </c>
      <c r="AG13" s="546">
        <f>16453.79-SUM(AE13:AF13)</f>
        <v>-2047.6299999999974</v>
      </c>
      <c r="AH13" s="138">
        <f>17233.41-SUM(AE13:AG13)</f>
        <v>779.61999999999898</v>
      </c>
      <c r="AI13" s="547">
        <f>SUM(V13:AH13)-AB13</f>
        <v>17233.41</v>
      </c>
      <c r="AJ13" s="547"/>
      <c r="AK13" s="546">
        <f>17871.7-AI13</f>
        <v>638.29000000000087</v>
      </c>
      <c r="AL13" s="546">
        <f>15383.42-AI13-AK2</f>
        <v>-1851.9899999999998</v>
      </c>
      <c r="AM13" s="546"/>
      <c r="AN13" s="546"/>
      <c r="AO13" s="546"/>
      <c r="AP13" s="546"/>
      <c r="AQ13" s="546"/>
      <c r="AR13" s="546"/>
      <c r="AS13" s="546"/>
      <c r="AT13" s="546"/>
      <c r="AU13" s="546"/>
      <c r="AV13" s="546"/>
      <c r="AW13" s="547"/>
      <c r="AX13" s="547"/>
      <c r="AY13" s="546"/>
      <c r="AZ13" s="546"/>
      <c r="BA13" s="546"/>
      <c r="BB13" s="546"/>
      <c r="BC13" s="546"/>
      <c r="BD13" s="546"/>
      <c r="BE13" s="546"/>
      <c r="BF13" s="546"/>
      <c r="BG13" s="546"/>
      <c r="BH13" s="546"/>
      <c r="BI13" s="546"/>
      <c r="BJ13" s="546"/>
      <c r="BK13" s="547"/>
      <c r="BL13" s="547"/>
      <c r="BM13" s="546"/>
      <c r="BN13" s="546"/>
      <c r="BO13" s="546"/>
      <c r="BP13" s="546"/>
      <c r="BQ13" s="546"/>
      <c r="BR13" s="546"/>
      <c r="BS13" s="546"/>
      <c r="BT13" s="546"/>
      <c r="BU13" s="546"/>
      <c r="BV13" s="546"/>
      <c r="BW13" s="546"/>
      <c r="BX13" s="546"/>
      <c r="BY13" s="547"/>
      <c r="BZ13" s="138"/>
      <c r="CA13" s="138"/>
      <c r="CB13" s="138"/>
      <c r="CC13" s="138"/>
      <c r="CD13" s="138"/>
    </row>
    <row r="14" spans="1:82" s="562" customFormat="1" ht="14.25" customHeight="1" x14ac:dyDescent="0.4">
      <c r="A14" s="417"/>
      <c r="B14" s="551" t="str">
        <f>Mitgl!B14</f>
        <v>Umsatzsteuer Umsatz Supermarkt 11,4%</v>
      </c>
      <c r="C14" s="552"/>
      <c r="D14" s="552"/>
      <c r="E14" s="552"/>
      <c r="F14" s="552"/>
      <c r="G14" s="552"/>
      <c r="H14" s="553">
        <f>Mitgl!H14</f>
        <v>0</v>
      </c>
      <c r="I14" s="553">
        <f>Mitgl!I14</f>
        <v>0</v>
      </c>
      <c r="J14" s="553">
        <f>Mitgl!J14</f>
        <v>0</v>
      </c>
      <c r="K14" s="553">
        <f>Mitgl!K14</f>
        <v>0</v>
      </c>
      <c r="L14" s="553">
        <f>Mitgl!L14</f>
        <v>0</v>
      </c>
      <c r="M14" s="553">
        <f>Mitgl!M14</f>
        <v>0</v>
      </c>
      <c r="N14" s="553">
        <f>Mitgl!N14</f>
        <v>0</v>
      </c>
      <c r="O14" s="553">
        <f>Mitgl!O14</f>
        <v>0</v>
      </c>
      <c r="P14" s="553">
        <f>Mitgl!P14</f>
        <v>0</v>
      </c>
      <c r="Q14" s="553">
        <f>Mitgl!Q14</f>
        <v>0</v>
      </c>
      <c r="R14" s="553">
        <f>Mitgl!R14</f>
        <v>0</v>
      </c>
      <c r="S14" s="553">
        <f>Mitgl!S14</f>
        <v>0</v>
      </c>
      <c r="T14" s="554">
        <f t="shared" ref="T14:T19" si="6">SUM(H14:S14)</f>
        <v>0</v>
      </c>
      <c r="U14" s="555"/>
      <c r="V14" s="553">
        <f>Mitgl!V14</f>
        <v>0</v>
      </c>
      <c r="W14" s="553">
        <f>Mitgl!W14</f>
        <v>0</v>
      </c>
      <c r="X14" s="553">
        <f>Mitgl!X14</f>
        <v>0</v>
      </c>
      <c r="Y14" s="553">
        <f>Mitgl!Y14</f>
        <v>0</v>
      </c>
      <c r="Z14" s="553">
        <f>Mitgl!Z14</f>
        <v>0</v>
      </c>
      <c r="AA14" s="553">
        <f>Mitgl!AA14</f>
        <v>0</v>
      </c>
      <c r="AB14" s="556">
        <f t="shared" ref="AB14:AB38" si="7">SUM(V14:AA14)</f>
        <v>0</v>
      </c>
      <c r="AC14" s="553">
        <f>Mitgl!AB14</f>
        <v>0</v>
      </c>
      <c r="AD14" s="553">
        <f>Mitgl!AC14</f>
        <v>0</v>
      </c>
      <c r="AE14" s="553">
        <f>Mitgl!AD14</f>
        <v>9232.4897279999986</v>
      </c>
      <c r="AF14" s="553">
        <f>Mitgl!AE14</f>
        <v>10624.084992</v>
      </c>
      <c r="AG14" s="553">
        <f>Mitgl!AF14</f>
        <v>13225.605120000004</v>
      </c>
      <c r="AH14" s="553">
        <f>Mitgl!AG14</f>
        <v>11394.367488000002</v>
      </c>
      <c r="AI14" s="557">
        <f>SUM(V14:AH14)-AB14</f>
        <v>44476.547328000001</v>
      </c>
      <c r="AJ14" s="555"/>
      <c r="AK14" s="553">
        <f>Mitgl!AJ14</f>
        <v>11458.078861875274</v>
      </c>
      <c r="AL14" s="553"/>
      <c r="AM14" s="553">
        <f>Mitgl!AL14</f>
        <v>13462.791057053893</v>
      </c>
      <c r="AN14" s="553">
        <f>Mitgl!AM14</f>
        <v>14614.220894943042</v>
      </c>
      <c r="AO14" s="553">
        <f>Mitgl!AN14</f>
        <v>14856.262114909092</v>
      </c>
      <c r="AP14" s="553">
        <f>Mitgl!AO14</f>
        <v>14245.533213476847</v>
      </c>
      <c r="AQ14" s="553">
        <f>Mitgl!AP14</f>
        <v>14422.418485353051</v>
      </c>
      <c r="AR14" s="553">
        <f>Mitgl!AQ14</f>
        <v>16066.685366068965</v>
      </c>
      <c r="AS14" s="553">
        <f>Mitgl!AR14</f>
        <v>16529.958718128772</v>
      </c>
      <c r="AT14" s="553">
        <f>Mitgl!AS14</f>
        <v>17834.577297519681</v>
      </c>
      <c r="AU14" s="553">
        <f>Mitgl!AT14</f>
        <v>21440.580762639591</v>
      </c>
      <c r="AV14" s="553">
        <f>Mitgl!AU14</f>
        <v>18057.053837950083</v>
      </c>
      <c r="AW14" s="558">
        <f>SUM(AK14:AV14)</f>
        <v>172988.1606099183</v>
      </c>
      <c r="AX14" s="555"/>
      <c r="AY14" s="553">
        <f>Mitgl!AX14</f>
        <v>18835.428072303544</v>
      </c>
      <c r="AZ14" s="553">
        <f>Mitgl!AY14</f>
        <v>19598.836815633549</v>
      </c>
      <c r="BA14" s="553">
        <f>Mitgl!AZ14</f>
        <v>20579.454126848817</v>
      </c>
      <c r="BB14" s="553">
        <f>Mitgl!BA14</f>
        <v>20719.789986447944</v>
      </c>
      <c r="BC14" s="553">
        <f>Mitgl!BB14</f>
        <v>20725.679002021243</v>
      </c>
      <c r="BD14" s="553">
        <f>Mitgl!BC14</f>
        <v>19609.773593269681</v>
      </c>
      <c r="BE14" s="553">
        <f>Mitgl!BD14</f>
        <v>19742.598657335009</v>
      </c>
      <c r="BF14" s="553">
        <f>Mitgl!BE14</f>
        <v>21854.840158574621</v>
      </c>
      <c r="BG14" s="553">
        <f>Mitgl!BF14</f>
        <v>22231.69806893538</v>
      </c>
      <c r="BH14" s="553">
        <f>Mitgl!BG14</f>
        <v>23567.937313429386</v>
      </c>
      <c r="BI14" s="553">
        <f>Mitgl!BH14</f>
        <v>27861.902052995571</v>
      </c>
      <c r="BJ14" s="553">
        <f>Mitgl!BI14</f>
        <v>23127.571203401771</v>
      </c>
      <c r="BK14" s="559">
        <f>SUM(AY14:BJ14)</f>
        <v>258455.50905119651</v>
      </c>
      <c r="BL14" s="555"/>
      <c r="BM14" s="553">
        <f>Mitgl!BL14</f>
        <v>23868.681575363087</v>
      </c>
      <c r="BN14" s="553">
        <f>Mitgl!BM14</f>
        <v>24593.850481808207</v>
      </c>
      <c r="BO14" s="553">
        <f>Mitgl!BN14</f>
        <v>25579.280805663824</v>
      </c>
      <c r="BP14" s="553">
        <f>Mitgl!BO14</f>
        <v>25515.751972156151</v>
      </c>
      <c r="BQ14" s="553">
        <f>Mitgl!BP14</f>
        <v>25293.342698810189</v>
      </c>
      <c r="BR14" s="553">
        <f>Mitgl!BQ14</f>
        <v>23721.721558453759</v>
      </c>
      <c r="BS14" s="553">
        <f>Mitgl!BR14</f>
        <v>23678.374300308009</v>
      </c>
      <c r="BT14" s="553">
        <f>Mitgl!BS14</f>
        <v>25993.404847872003</v>
      </c>
      <c r="BU14" s="553">
        <f>Mitgl!BT14</f>
        <v>26226.879607030391</v>
      </c>
      <c r="BV14" s="553">
        <f>Mitgl!BU14</f>
        <v>27582.975675308702</v>
      </c>
      <c r="BW14" s="553">
        <f>Mitgl!BV14</f>
        <v>32356.367278140951</v>
      </c>
      <c r="BX14" s="553">
        <f>Mitgl!BW14</f>
        <v>26655.652899706787</v>
      </c>
      <c r="BY14" s="560">
        <f>SUM(BM14:BX14)</f>
        <v>311066.28370062209</v>
      </c>
      <c r="BZ14" s="561">
        <f>BZ5*0.114</f>
        <v>345057.98039024923</v>
      </c>
      <c r="CA14" s="561">
        <f>CA5*0.114</f>
        <v>379134.89886542718</v>
      </c>
      <c r="CB14" s="561"/>
      <c r="CC14" s="561"/>
      <c r="CD14" s="561"/>
    </row>
    <row r="15" spans="1:82" ht="14.25" customHeight="1" x14ac:dyDescent="0.4">
      <c r="A15" s="194">
        <v>4000</v>
      </c>
      <c r="B15" s="30" t="s">
        <v>574</v>
      </c>
      <c r="H15" s="277"/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86">
        <v>4558.72</v>
      </c>
      <c r="T15" s="526">
        <f t="shared" si="6"/>
        <v>4558.72</v>
      </c>
      <c r="U15" s="527"/>
      <c r="V15" s="277"/>
      <c r="W15" s="277"/>
      <c r="X15" s="277"/>
      <c r="Y15" s="277"/>
      <c r="Z15" s="277"/>
      <c r="AA15" s="277"/>
      <c r="AB15" s="534">
        <f t="shared" si="7"/>
        <v>0</v>
      </c>
      <c r="AE15" s="277"/>
      <c r="AF15" s="277"/>
      <c r="AG15" s="277"/>
      <c r="AH15" s="277"/>
      <c r="AI15" s="529">
        <f>SUM(V15:AH15)</f>
        <v>0</v>
      </c>
      <c r="AJ15" s="527"/>
      <c r="AK15" s="277">
        <f>AH15*1.034</f>
        <v>0</v>
      </c>
      <c r="AL15" s="277">
        <f t="shared" ref="AL15:AV15" si="8">$AK15</f>
        <v>0</v>
      </c>
      <c r="AM15" s="277">
        <f t="shared" si="8"/>
        <v>0</v>
      </c>
      <c r="AN15" s="277">
        <f t="shared" si="8"/>
        <v>0</v>
      </c>
      <c r="AO15" s="277">
        <f t="shared" si="8"/>
        <v>0</v>
      </c>
      <c r="AP15" s="277">
        <f t="shared" si="8"/>
        <v>0</v>
      </c>
      <c r="AQ15" s="277">
        <f t="shared" si="8"/>
        <v>0</v>
      </c>
      <c r="AR15" s="277">
        <f t="shared" si="8"/>
        <v>0</v>
      </c>
      <c r="AS15" s="277">
        <f t="shared" si="8"/>
        <v>0</v>
      </c>
      <c r="AT15" s="277">
        <f t="shared" si="8"/>
        <v>0</v>
      </c>
      <c r="AU15" s="277">
        <f t="shared" si="8"/>
        <v>0</v>
      </c>
      <c r="AV15" s="277">
        <f t="shared" si="8"/>
        <v>0</v>
      </c>
      <c r="AW15" s="530">
        <f>SUM(AK15:AV15)</f>
        <v>0</v>
      </c>
      <c r="AX15" s="527"/>
      <c r="AY15" s="277">
        <f>AV15*1.031</f>
        <v>0</v>
      </c>
      <c r="AZ15" s="277">
        <f t="shared" ref="AZ15:BJ15" si="9">$AY15</f>
        <v>0</v>
      </c>
      <c r="BA15" s="277">
        <f t="shared" si="9"/>
        <v>0</v>
      </c>
      <c r="BB15" s="277">
        <f t="shared" si="9"/>
        <v>0</v>
      </c>
      <c r="BC15" s="277">
        <f t="shared" si="9"/>
        <v>0</v>
      </c>
      <c r="BD15" s="277">
        <f t="shared" si="9"/>
        <v>0</v>
      </c>
      <c r="BE15" s="277">
        <f t="shared" si="9"/>
        <v>0</v>
      </c>
      <c r="BF15" s="277">
        <f t="shared" si="9"/>
        <v>0</v>
      </c>
      <c r="BG15" s="277">
        <f t="shared" si="9"/>
        <v>0</v>
      </c>
      <c r="BH15" s="277">
        <f t="shared" si="9"/>
        <v>0</v>
      </c>
      <c r="BI15" s="277">
        <f t="shared" si="9"/>
        <v>0</v>
      </c>
      <c r="BJ15" s="277">
        <f t="shared" si="9"/>
        <v>0</v>
      </c>
      <c r="BK15" s="532">
        <f>SUM(AY15:BJ15)</f>
        <v>0</v>
      </c>
      <c r="BL15" s="527"/>
      <c r="BM15" s="277">
        <f>BJ15*1.032</f>
        <v>0</v>
      </c>
      <c r="BN15" s="277">
        <f t="shared" ref="BN15:BX15" si="10">$BM15</f>
        <v>0</v>
      </c>
      <c r="BO15" s="277">
        <f t="shared" si="10"/>
        <v>0</v>
      </c>
      <c r="BP15" s="277">
        <f t="shared" si="10"/>
        <v>0</v>
      </c>
      <c r="BQ15" s="277">
        <f t="shared" si="10"/>
        <v>0</v>
      </c>
      <c r="BR15" s="277">
        <f t="shared" si="10"/>
        <v>0</v>
      </c>
      <c r="BS15" s="277">
        <f t="shared" si="10"/>
        <v>0</v>
      </c>
      <c r="BT15" s="277">
        <f t="shared" si="10"/>
        <v>0</v>
      </c>
      <c r="BU15" s="277">
        <f t="shared" si="10"/>
        <v>0</v>
      </c>
      <c r="BV15" s="277">
        <f t="shared" si="10"/>
        <v>0</v>
      </c>
      <c r="BW15" s="277">
        <f t="shared" si="10"/>
        <v>0</v>
      </c>
      <c r="BX15" s="277">
        <f t="shared" si="10"/>
        <v>0</v>
      </c>
      <c r="BY15" s="527">
        <f>SUM(BM15:BX15)</f>
        <v>0</v>
      </c>
      <c r="BZ15" s="33"/>
      <c r="CA15" s="33"/>
      <c r="CB15" s="33"/>
      <c r="CC15" s="33"/>
      <c r="CD15" s="33"/>
    </row>
    <row r="16" spans="1:82" ht="14.25" customHeight="1" x14ac:dyDescent="0.4">
      <c r="A16" s="194">
        <v>4040</v>
      </c>
      <c r="B16" s="30" t="s">
        <v>575</v>
      </c>
      <c r="H16" s="277"/>
      <c r="I16" s="277"/>
      <c r="J16" s="277"/>
      <c r="K16" s="277"/>
      <c r="L16" s="277"/>
      <c r="M16" s="277"/>
      <c r="N16" s="277"/>
      <c r="O16" s="286">
        <f>1000+335/1.2</f>
        <v>1279.1666666666667</v>
      </c>
      <c r="P16" s="286">
        <f>1000+335/1.2</f>
        <v>1279.1666666666667</v>
      </c>
      <c r="Q16" s="286">
        <f>1000+335/1.2</f>
        <v>1279.1666666666667</v>
      </c>
      <c r="R16" s="286">
        <v>1000</v>
      </c>
      <c r="S16" s="286">
        <f>6395.84-SUM(H16:R16)</f>
        <v>1558.3400000000001</v>
      </c>
      <c r="T16" s="526">
        <f t="shared" si="6"/>
        <v>6395.84</v>
      </c>
      <c r="U16" s="527"/>
      <c r="V16" s="277">
        <v>1000</v>
      </c>
      <c r="W16" s="277">
        <f>1000+300</f>
        <v>1300</v>
      </c>
      <c r="X16" s="277">
        <v>1000</v>
      </c>
      <c r="Y16" s="277">
        <v>1000</v>
      </c>
      <c r="Z16" s="277">
        <v>1000</v>
      </c>
      <c r="AA16" s="277">
        <v>1000</v>
      </c>
      <c r="AB16" s="534">
        <f t="shared" si="7"/>
        <v>6300</v>
      </c>
      <c r="AC16" s="277">
        <v>1000</v>
      </c>
      <c r="AD16" s="277">
        <v>5000</v>
      </c>
      <c r="AE16" s="277"/>
      <c r="AF16" s="277">
        <v>1000</v>
      </c>
      <c r="AG16" s="277">
        <f>AF16</f>
        <v>1000</v>
      </c>
      <c r="AH16" s="277">
        <f>AG16</f>
        <v>1000</v>
      </c>
      <c r="AI16" s="529">
        <f>SUM(V16:AH16)-AB16</f>
        <v>15300</v>
      </c>
      <c r="AJ16" s="527"/>
      <c r="AK16" s="277">
        <v>1000</v>
      </c>
      <c r="AL16" s="277">
        <f t="shared" ref="AL16:AV16" si="11">AK16</f>
        <v>1000</v>
      </c>
      <c r="AM16" s="277">
        <f t="shared" si="11"/>
        <v>1000</v>
      </c>
      <c r="AN16" s="277">
        <f t="shared" si="11"/>
        <v>1000</v>
      </c>
      <c r="AO16" s="277">
        <f t="shared" si="11"/>
        <v>1000</v>
      </c>
      <c r="AP16" s="277">
        <f t="shared" si="11"/>
        <v>1000</v>
      </c>
      <c r="AQ16" s="277">
        <f t="shared" si="11"/>
        <v>1000</v>
      </c>
      <c r="AR16" s="277">
        <f t="shared" si="11"/>
        <v>1000</v>
      </c>
      <c r="AS16" s="277">
        <f t="shared" si="11"/>
        <v>1000</v>
      </c>
      <c r="AT16" s="277">
        <f t="shared" si="11"/>
        <v>1000</v>
      </c>
      <c r="AU16" s="277">
        <f t="shared" si="11"/>
        <v>1000</v>
      </c>
      <c r="AV16" s="277">
        <f t="shared" si="11"/>
        <v>1000</v>
      </c>
      <c r="AW16" s="530">
        <f>SUM(AK16:AV16)</f>
        <v>12000</v>
      </c>
      <c r="AX16" s="527"/>
      <c r="AY16" s="277">
        <v>1000</v>
      </c>
      <c r="AZ16" s="277">
        <f t="shared" ref="AZ16:BJ16" si="12">AY16</f>
        <v>1000</v>
      </c>
      <c r="BA16" s="277">
        <f t="shared" si="12"/>
        <v>1000</v>
      </c>
      <c r="BB16" s="277">
        <f t="shared" si="12"/>
        <v>1000</v>
      </c>
      <c r="BC16" s="277">
        <f t="shared" si="12"/>
        <v>1000</v>
      </c>
      <c r="BD16" s="277">
        <f t="shared" si="12"/>
        <v>1000</v>
      </c>
      <c r="BE16" s="277">
        <f t="shared" si="12"/>
        <v>1000</v>
      </c>
      <c r="BF16" s="277">
        <f t="shared" si="12"/>
        <v>1000</v>
      </c>
      <c r="BG16" s="277">
        <f t="shared" si="12"/>
        <v>1000</v>
      </c>
      <c r="BH16" s="277">
        <f t="shared" si="12"/>
        <v>1000</v>
      </c>
      <c r="BI16" s="277">
        <f t="shared" si="12"/>
        <v>1000</v>
      </c>
      <c r="BJ16" s="277">
        <f t="shared" si="12"/>
        <v>1000</v>
      </c>
      <c r="BK16" s="532">
        <f>SUM(AY16:BJ16)</f>
        <v>12000</v>
      </c>
      <c r="BL16" s="527"/>
      <c r="BM16" s="277">
        <v>1000</v>
      </c>
      <c r="BN16" s="277">
        <f t="shared" ref="BN16:BX16" si="13">BM16</f>
        <v>1000</v>
      </c>
      <c r="BO16" s="277">
        <f t="shared" si="13"/>
        <v>1000</v>
      </c>
      <c r="BP16" s="277">
        <f t="shared" si="13"/>
        <v>1000</v>
      </c>
      <c r="BQ16" s="277">
        <f t="shared" si="13"/>
        <v>1000</v>
      </c>
      <c r="BR16" s="277">
        <f t="shared" si="13"/>
        <v>1000</v>
      </c>
      <c r="BS16" s="277">
        <f t="shared" si="13"/>
        <v>1000</v>
      </c>
      <c r="BT16" s="277">
        <f t="shared" si="13"/>
        <v>1000</v>
      </c>
      <c r="BU16" s="277">
        <f t="shared" si="13"/>
        <v>1000</v>
      </c>
      <c r="BV16" s="277">
        <f t="shared" si="13"/>
        <v>1000</v>
      </c>
      <c r="BW16" s="277">
        <f t="shared" si="13"/>
        <v>1000</v>
      </c>
      <c r="BX16" s="277">
        <f t="shared" si="13"/>
        <v>1000</v>
      </c>
      <c r="BY16" s="527">
        <f>SUM(BM16:BX16)</f>
        <v>12000</v>
      </c>
      <c r="BZ16" s="33">
        <f>BY16</f>
        <v>12000</v>
      </c>
      <c r="CA16" s="33">
        <f>BY16</f>
        <v>12000</v>
      </c>
      <c r="CB16" s="33"/>
      <c r="CC16" s="33"/>
      <c r="CD16" s="33"/>
    </row>
    <row r="17" spans="1:82" ht="14.25" customHeight="1" x14ac:dyDescent="0.4">
      <c r="A17" s="194">
        <v>4352</v>
      </c>
      <c r="B17" s="493" t="s">
        <v>129</v>
      </c>
      <c r="C17" s="493"/>
      <c r="D17" s="493"/>
      <c r="E17" s="493"/>
      <c r="F17" s="493"/>
      <c r="G17" s="493"/>
      <c r="H17" s="304"/>
      <c r="I17" s="304"/>
      <c r="J17" s="304"/>
      <c r="K17" s="304"/>
      <c r="L17" s="304"/>
      <c r="M17" s="304"/>
      <c r="N17" s="304"/>
      <c r="O17" s="304"/>
      <c r="P17" s="563">
        <v>4300</v>
      </c>
      <c r="Q17" s="304"/>
      <c r="R17" s="563">
        <v>10000</v>
      </c>
      <c r="S17" s="563">
        <f>42384-SUM(H17:R17)</f>
        <v>28084</v>
      </c>
      <c r="T17" s="564">
        <f t="shared" si="6"/>
        <v>42384</v>
      </c>
      <c r="U17" s="565"/>
      <c r="V17" s="304"/>
      <c r="W17" s="304"/>
      <c r="X17" s="304"/>
      <c r="Y17" s="304"/>
      <c r="Z17" s="304"/>
      <c r="AA17" s="304"/>
      <c r="AB17" s="534">
        <f t="shared" si="7"/>
        <v>0</v>
      </c>
      <c r="AC17" s="304"/>
      <c r="AD17" s="304"/>
      <c r="AE17" s="304"/>
      <c r="AF17" s="304"/>
      <c r="AG17" s="304"/>
      <c r="AH17" s="304"/>
      <c r="AI17" s="566"/>
      <c r="AJ17" s="565"/>
      <c r="AK17" s="304"/>
      <c r="AL17" s="304"/>
      <c r="AM17" s="304"/>
      <c r="AN17" s="304"/>
      <c r="AO17" s="304"/>
      <c r="AP17" s="304"/>
      <c r="AQ17" s="304"/>
      <c r="AR17" s="304"/>
      <c r="AS17" s="304"/>
      <c r="AT17" s="304"/>
      <c r="AU17" s="304"/>
      <c r="AV17" s="304"/>
      <c r="AW17" s="567"/>
      <c r="AX17" s="565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4"/>
      <c r="BJ17" s="304"/>
      <c r="BK17" s="568"/>
      <c r="BL17" s="565"/>
      <c r="BM17" s="304"/>
      <c r="BN17" s="304"/>
      <c r="BO17" s="304"/>
      <c r="BP17" s="304"/>
      <c r="BQ17" s="304"/>
      <c r="BR17" s="304"/>
      <c r="BS17" s="304"/>
      <c r="BT17" s="304"/>
      <c r="BU17" s="304"/>
      <c r="BV17" s="304"/>
      <c r="BW17" s="304"/>
      <c r="BX17" s="304"/>
      <c r="BY17" s="565"/>
      <c r="BZ17" s="33"/>
      <c r="CA17" s="33"/>
      <c r="CB17" s="33"/>
      <c r="CC17" s="33"/>
      <c r="CD17" s="33"/>
    </row>
    <row r="18" spans="1:82" ht="14.25" customHeight="1" x14ac:dyDescent="0.4">
      <c r="A18" s="194">
        <v>8100</v>
      </c>
      <c r="B18" s="313" t="s">
        <v>576</v>
      </c>
      <c r="C18" s="313"/>
      <c r="D18" s="313"/>
      <c r="E18" s="313"/>
      <c r="F18" s="313"/>
      <c r="G18" s="313"/>
      <c r="H18" s="316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6">
        <f>7713.08-SUM(H18:R18)</f>
        <v>7713.08</v>
      </c>
      <c r="T18" s="569">
        <f t="shared" si="6"/>
        <v>7713.08</v>
      </c>
      <c r="U18" s="569"/>
      <c r="V18" s="316"/>
      <c r="W18" s="316"/>
      <c r="X18" s="316"/>
      <c r="Y18" s="316"/>
      <c r="Z18" s="316"/>
      <c r="AA18" s="316"/>
      <c r="AB18" s="534">
        <f t="shared" si="7"/>
        <v>0</v>
      </c>
      <c r="AC18" s="316"/>
      <c r="AD18" s="316"/>
      <c r="AE18" s="316"/>
      <c r="AF18" s="316"/>
      <c r="AG18" s="316"/>
      <c r="AH18" s="316"/>
      <c r="AI18" s="570">
        <f>SUM(V18:AH18)</f>
        <v>0</v>
      </c>
      <c r="AJ18" s="569"/>
      <c r="AK18" s="316"/>
      <c r="AL18" s="316"/>
      <c r="AM18" s="316"/>
      <c r="AN18" s="316"/>
      <c r="AO18" s="316"/>
      <c r="AP18" s="316"/>
      <c r="AQ18" s="316"/>
      <c r="AR18" s="316"/>
      <c r="AS18" s="316"/>
      <c r="AT18" s="316"/>
      <c r="AU18" s="316"/>
      <c r="AV18" s="316"/>
      <c r="AW18" s="527"/>
      <c r="AX18" s="527"/>
      <c r="AY18" s="316"/>
      <c r="AZ18" s="316"/>
      <c r="BA18" s="316"/>
      <c r="BB18" s="316"/>
      <c r="BC18" s="316"/>
      <c r="BD18" s="316"/>
      <c r="BE18" s="316"/>
      <c r="BF18" s="316"/>
      <c r="BG18" s="316"/>
      <c r="BH18" s="316"/>
      <c r="BI18" s="316"/>
      <c r="BJ18" s="316"/>
      <c r="BK18" s="527"/>
      <c r="BL18" s="527"/>
      <c r="BM18" s="316"/>
      <c r="BN18" s="316"/>
      <c r="BO18" s="316"/>
      <c r="BP18" s="316"/>
      <c r="BQ18" s="316"/>
      <c r="BR18" s="316"/>
      <c r="BS18" s="316"/>
      <c r="BT18" s="316"/>
      <c r="BU18" s="316"/>
      <c r="BV18" s="316"/>
      <c r="BW18" s="316"/>
      <c r="BX18" s="316"/>
      <c r="BY18" s="527"/>
      <c r="BZ18" s="33"/>
      <c r="CA18" s="33"/>
      <c r="CB18" s="33"/>
      <c r="CC18" s="33"/>
      <c r="CD18" s="33"/>
    </row>
    <row r="19" spans="1:82" ht="14.25" customHeight="1" x14ac:dyDescent="0.4">
      <c r="B19" s="571" t="s">
        <v>577</v>
      </c>
      <c r="C19" s="571"/>
      <c r="D19" s="571"/>
      <c r="E19" s="571"/>
      <c r="F19" s="571"/>
      <c r="G19" s="571"/>
      <c r="H19" s="572">
        <f t="shared" ref="H19:S19" si="14">SUM(H4:H18)</f>
        <v>470748.31999999995</v>
      </c>
      <c r="I19" s="572">
        <f t="shared" si="14"/>
        <v>21740</v>
      </c>
      <c r="J19" s="572">
        <f t="shared" si="14"/>
        <v>9440</v>
      </c>
      <c r="K19" s="572">
        <f t="shared" si="14"/>
        <v>18420</v>
      </c>
      <c r="L19" s="572">
        <f t="shared" si="14"/>
        <v>0</v>
      </c>
      <c r="M19" s="572">
        <f t="shared" si="14"/>
        <v>1020</v>
      </c>
      <c r="N19" s="572">
        <f t="shared" si="14"/>
        <v>10000</v>
      </c>
      <c r="O19" s="572">
        <f t="shared" si="14"/>
        <v>18319.166666666668</v>
      </c>
      <c r="P19" s="572">
        <f t="shared" si="14"/>
        <v>91919.166666666672</v>
      </c>
      <c r="Q19" s="572">
        <f t="shared" si="14"/>
        <v>87639.166666666672</v>
      </c>
      <c r="R19" s="572">
        <f t="shared" si="14"/>
        <v>27829</v>
      </c>
      <c r="S19" s="572">
        <f t="shared" si="14"/>
        <v>50421.42</v>
      </c>
      <c r="T19" s="573">
        <f t="shared" si="6"/>
        <v>807496.23999999987</v>
      </c>
      <c r="U19" s="316"/>
      <c r="V19" s="572">
        <f t="shared" ref="V19:AA19" si="15">SUM(V4:V18)</f>
        <v>150481.72</v>
      </c>
      <c r="W19" s="572">
        <f t="shared" si="15"/>
        <v>159140</v>
      </c>
      <c r="X19" s="572">
        <f t="shared" si="15"/>
        <v>91280</v>
      </c>
      <c r="Y19" s="572">
        <f t="shared" si="15"/>
        <v>23510</v>
      </c>
      <c r="Z19" s="572">
        <f t="shared" si="15"/>
        <v>6800</v>
      </c>
      <c r="AA19" s="572">
        <f t="shared" si="15"/>
        <v>202720</v>
      </c>
      <c r="AB19" s="534">
        <f t="shared" si="7"/>
        <v>633931.72</v>
      </c>
      <c r="AC19" s="572">
        <f t="shared" ref="AC19:AH19" si="16">SUM(AC4:AC18)</f>
        <v>2700</v>
      </c>
      <c r="AD19" s="572">
        <f t="shared" si="16"/>
        <v>58420</v>
      </c>
      <c r="AE19" s="572">
        <f t="shared" si="16"/>
        <v>112283.94263709091</v>
      </c>
      <c r="AF19" s="572">
        <f t="shared" si="16"/>
        <v>121798.16844654546</v>
      </c>
      <c r="AG19" s="572">
        <f t="shared" si="16"/>
        <v>161406.60057454545</v>
      </c>
      <c r="AH19" s="572">
        <f t="shared" si="16"/>
        <v>134619.12494254546</v>
      </c>
      <c r="AI19" s="529">
        <f>SUM(V19:AH19)-AB19</f>
        <v>1225159.5566007271</v>
      </c>
      <c r="AJ19" s="316"/>
      <c r="AK19" s="572">
        <f t="shared" ref="AK19:AV19" si="17">SUM(AK5:AK18)</f>
        <v>119575.83256253558</v>
      </c>
      <c r="AL19" s="572">
        <f t="shared" si="17"/>
        <v>163425.28769993025</v>
      </c>
      <c r="AM19" s="572">
        <f t="shared" si="17"/>
        <v>101853.44945226348</v>
      </c>
      <c r="AN19" s="572">
        <f t="shared" si="17"/>
        <v>263332.14102602238</v>
      </c>
      <c r="AO19" s="572">
        <f t="shared" si="17"/>
        <v>230697.35084218183</v>
      </c>
      <c r="AP19" s="572">
        <f t="shared" si="17"/>
        <v>193151.35087555446</v>
      </c>
      <c r="AQ19" s="572">
        <f t="shared" si="17"/>
        <v>222254.86133932718</v>
      </c>
      <c r="AR19" s="572">
        <f t="shared" si="17"/>
        <v>151736.52191053357</v>
      </c>
      <c r="AS19" s="572">
        <f t="shared" si="17"/>
        <v>158841.5965964513</v>
      </c>
      <c r="AT19" s="572">
        <f t="shared" si="17"/>
        <v>183590.23780207828</v>
      </c>
      <c r="AU19" s="572">
        <f t="shared" si="17"/>
        <v>221827.85061035529</v>
      </c>
      <c r="AV19" s="572">
        <f t="shared" si="17"/>
        <v>181186.26294277536</v>
      </c>
      <c r="AW19" s="574">
        <f>SUM(AK19:AV19)</f>
        <v>2191472.743660009</v>
      </c>
      <c r="AX19" s="337"/>
      <c r="AY19" s="572">
        <f t="shared" ref="AY19:BJ19" si="18">SUM(AY4:AY18)</f>
        <v>180496.37733812409</v>
      </c>
      <c r="AZ19" s="572">
        <f t="shared" si="18"/>
        <v>187956.35400540152</v>
      </c>
      <c r="BA19" s="572">
        <f t="shared" si="18"/>
        <v>197538.87755534722</v>
      </c>
      <c r="BB19" s="572">
        <f t="shared" si="18"/>
        <v>198910.22972721938</v>
      </c>
      <c r="BC19" s="572">
        <f t="shared" si="18"/>
        <v>198967.7767741374</v>
      </c>
      <c r="BD19" s="572">
        <f t="shared" si="18"/>
        <v>196570.33142896864</v>
      </c>
      <c r="BE19" s="572">
        <f t="shared" si="18"/>
        <v>189361.18463395789</v>
      </c>
      <c r="BF19" s="572">
        <f t="shared" si="18"/>
        <v>210001.86035659764</v>
      </c>
      <c r="BG19" s="572">
        <f t="shared" si="18"/>
        <v>213684.48941047379</v>
      </c>
      <c r="BH19" s="572">
        <f>SUM(BH4:BH18)</f>
        <v>226742.12553649419</v>
      </c>
      <c r="BI19" s="572">
        <f t="shared" si="18"/>
        <v>268702.44764067599</v>
      </c>
      <c r="BJ19" s="572">
        <f t="shared" si="18"/>
        <v>222438.89881218923</v>
      </c>
      <c r="BK19" s="575">
        <f>SUM(AY19:BJ19)</f>
        <v>2491370.953219587</v>
      </c>
      <c r="BL19" s="337"/>
      <c r="BM19" s="572">
        <f t="shared" ref="BM19:BX19" si="19">SUM(BM4:BM18)</f>
        <v>227167.19591924982</v>
      </c>
      <c r="BN19" s="572">
        <f t="shared" si="19"/>
        <v>234253.49558398547</v>
      </c>
      <c r="BO19" s="572">
        <f t="shared" si="19"/>
        <v>243883.05155569737</v>
      </c>
      <c r="BP19" s="572">
        <f t="shared" si="19"/>
        <v>243262.25225282414</v>
      </c>
      <c r="BQ19" s="572">
        <f t="shared" si="19"/>
        <v>241088.88444135571</v>
      </c>
      <c r="BR19" s="572">
        <f t="shared" si="19"/>
        <v>225731.1129469955</v>
      </c>
      <c r="BS19" s="572">
        <f t="shared" si="19"/>
        <v>225307.52658230808</v>
      </c>
      <c r="BT19" s="572">
        <f t="shared" si="19"/>
        <v>247929.84263481942</v>
      </c>
      <c r="BU19" s="572">
        <f t="shared" si="19"/>
        <v>250211.34159712156</v>
      </c>
      <c r="BV19" s="572">
        <f t="shared" si="19"/>
        <v>263463.01721170085</v>
      </c>
      <c r="BW19" s="572">
        <f t="shared" si="19"/>
        <v>310108.26497972826</v>
      </c>
      <c r="BX19" s="572">
        <f t="shared" si="19"/>
        <v>254401.28412380142</v>
      </c>
      <c r="BY19" s="337">
        <f>SUM(BM19:BX19)</f>
        <v>2966807.269829588</v>
      </c>
      <c r="BZ19" s="337">
        <f>SUM(BZ5:BZ17)</f>
        <v>3262711.0644088001</v>
      </c>
      <c r="CA19" s="337">
        <f>SUM(CA4:CA18)</f>
        <v>3617677.0657551391</v>
      </c>
    </row>
    <row r="20" spans="1:82" ht="14.25" customHeight="1" x14ac:dyDescent="0.4">
      <c r="H20" s="277"/>
      <c r="I20" s="277"/>
      <c r="J20" s="277"/>
      <c r="K20" s="277"/>
      <c r="L20" s="277"/>
      <c r="M20" s="277"/>
      <c r="N20" s="277"/>
      <c r="O20" s="277"/>
      <c r="P20" s="277"/>
      <c r="Q20" s="277"/>
      <c r="R20" s="277"/>
      <c r="S20" s="277"/>
      <c r="T20" s="576">
        <f>SUM(T3:T18)-T19</f>
        <v>0</v>
      </c>
      <c r="U20" s="577"/>
      <c r="V20" s="277"/>
      <c r="W20" s="277"/>
      <c r="X20" s="277"/>
      <c r="Y20" s="277"/>
      <c r="Z20" s="277"/>
      <c r="AA20" s="277"/>
      <c r="AB20" s="536">
        <f t="shared" si="7"/>
        <v>0</v>
      </c>
      <c r="AC20" s="277"/>
      <c r="AD20" s="277"/>
      <c r="AE20" s="277"/>
      <c r="AF20" s="277"/>
      <c r="AG20" s="277"/>
      <c r="AH20" s="277"/>
      <c r="AI20" s="577">
        <f>SUM(AI3:AI17)-AI19</f>
        <v>0</v>
      </c>
      <c r="AJ20" s="577"/>
      <c r="AK20" s="277"/>
      <c r="AL20" s="277"/>
      <c r="AM20" s="277"/>
      <c r="AN20" s="277"/>
      <c r="AO20" s="277"/>
      <c r="AP20" s="277"/>
      <c r="AQ20" s="277"/>
      <c r="AR20" s="277"/>
      <c r="AS20" s="277"/>
      <c r="AT20" s="277"/>
      <c r="AU20" s="277"/>
      <c r="AV20" s="277"/>
      <c r="AW20" s="578">
        <f>SUM(AW3:AW17)-AW19</f>
        <v>246067.65727272676</v>
      </c>
      <c r="AX20" s="577"/>
      <c r="AY20" s="277"/>
      <c r="AZ20" s="277"/>
      <c r="BA20" s="277"/>
      <c r="BB20" s="277"/>
      <c r="BC20" s="277"/>
      <c r="BD20" s="277"/>
      <c r="BE20" s="277"/>
      <c r="BF20" s="277"/>
      <c r="BG20" s="277"/>
      <c r="BH20" s="277"/>
      <c r="BI20" s="277"/>
      <c r="BJ20" s="277"/>
      <c r="BK20" s="579">
        <f>SUM(BK3:BK17)-BK19</f>
        <v>0</v>
      </c>
      <c r="BL20" s="577"/>
      <c r="BM20" s="277"/>
      <c r="BN20" s="277"/>
      <c r="BO20" s="277"/>
      <c r="BP20" s="277"/>
      <c r="BQ20" s="277"/>
      <c r="BR20" s="277"/>
      <c r="BS20" s="277"/>
      <c r="BT20" s="277"/>
      <c r="BU20" s="277"/>
      <c r="BV20" s="277"/>
      <c r="BW20" s="277"/>
      <c r="BX20" s="277"/>
      <c r="BY20" s="577">
        <f>SUM(BY3:BY17)-BY19</f>
        <v>0</v>
      </c>
      <c r="BZ20" s="33"/>
      <c r="CA20" s="33"/>
      <c r="CB20" s="33"/>
      <c r="CC20" s="33"/>
      <c r="CD20" s="33"/>
    </row>
    <row r="21" spans="1:82" ht="14.5" x14ac:dyDescent="0.4">
      <c r="B21" s="139" t="s">
        <v>578</v>
      </c>
      <c r="C21" s="267"/>
      <c r="D21" s="267"/>
      <c r="E21" s="267"/>
      <c r="F21" s="267"/>
      <c r="G21" s="267"/>
      <c r="H21" s="296"/>
      <c r="I21" s="296"/>
      <c r="J21" s="296"/>
      <c r="K21" s="296"/>
      <c r="L21" s="296"/>
      <c r="M21" s="296"/>
      <c r="N21" s="296"/>
      <c r="O21" s="296"/>
      <c r="P21" s="296"/>
      <c r="Q21" s="296"/>
      <c r="R21" s="296"/>
      <c r="S21" s="296"/>
      <c r="T21" s="518"/>
      <c r="U21" s="519"/>
      <c r="V21" s="296"/>
      <c r="W21" s="296"/>
      <c r="X21" s="296"/>
      <c r="Y21" s="296"/>
      <c r="Z21" s="296"/>
      <c r="AA21" s="296"/>
      <c r="AB21" s="534">
        <f t="shared" si="7"/>
        <v>0</v>
      </c>
      <c r="AC21" s="296"/>
      <c r="AD21" s="296"/>
      <c r="AE21" s="296"/>
      <c r="AF21" s="296"/>
      <c r="AG21" s="296"/>
      <c r="AH21" s="296"/>
      <c r="AI21" s="521"/>
      <c r="AJ21" s="519"/>
      <c r="AK21" s="296"/>
      <c r="AL21" s="296"/>
      <c r="AM21" s="296"/>
      <c r="AN21" s="296"/>
      <c r="AO21" s="296"/>
      <c r="AP21" s="296"/>
      <c r="AQ21" s="296"/>
      <c r="AR21" s="296"/>
      <c r="AS21" s="296"/>
      <c r="AT21" s="296"/>
      <c r="AU21" s="296"/>
      <c r="AV21" s="296"/>
      <c r="AW21" s="522"/>
      <c r="AX21" s="519"/>
      <c r="AY21" s="296"/>
      <c r="AZ21" s="296"/>
      <c r="BA21" s="296"/>
      <c r="BB21" s="296"/>
      <c r="BC21" s="296"/>
      <c r="BD21" s="296"/>
      <c r="BE21" s="296"/>
      <c r="BF21" s="296"/>
      <c r="BG21" s="296"/>
      <c r="BH21" s="296"/>
      <c r="BI21" s="296"/>
      <c r="BJ21" s="296"/>
      <c r="BK21" s="523"/>
      <c r="BL21" s="519"/>
      <c r="BM21" s="296"/>
      <c r="BN21" s="296"/>
      <c r="BO21" s="296"/>
      <c r="BP21" s="296"/>
      <c r="BQ21" s="296"/>
      <c r="BR21" s="296"/>
      <c r="BS21" s="296"/>
      <c r="BT21" s="296"/>
      <c r="BU21" s="296"/>
      <c r="BV21" s="296"/>
      <c r="BW21" s="296"/>
      <c r="BX21" s="296"/>
      <c r="BY21" s="519"/>
      <c r="BZ21" s="33"/>
      <c r="CA21" s="33"/>
      <c r="CB21" s="33"/>
      <c r="CC21" s="33"/>
      <c r="CD21" s="33"/>
    </row>
    <row r="22" spans="1:82" ht="14.5" x14ac:dyDescent="0.4">
      <c r="B22" s="580" t="str">
        <f>+Mitgl!B20</f>
        <v>Wareneinkauf (Ersteinkauf) exkl. USt.</v>
      </c>
      <c r="C22" s="581"/>
      <c r="H22" s="525">
        <f>+Mitgl!H20</f>
        <v>0</v>
      </c>
      <c r="I22" s="525">
        <f>+Mitgl!I20</f>
        <v>0</v>
      </c>
      <c r="J22" s="525">
        <f>+Mitgl!J20</f>
        <v>0</v>
      </c>
      <c r="K22" s="525">
        <f>+Mitgl!K20</f>
        <v>0</v>
      </c>
      <c r="L22" s="525">
        <f>+Mitgl!L20</f>
        <v>0</v>
      </c>
      <c r="M22" s="525">
        <f>+Mitgl!M20</f>
        <v>0</v>
      </c>
      <c r="N22" s="525">
        <f>+Mitgl!N20</f>
        <v>0</v>
      </c>
      <c r="O22" s="525">
        <f>+Mitgl!O20</f>
        <v>0</v>
      </c>
      <c r="P22" s="525">
        <f>+Mitgl!P20</f>
        <v>0</v>
      </c>
      <c r="Q22" s="525">
        <f>+Mitgl!Q20</f>
        <v>0</v>
      </c>
      <c r="R22" s="525">
        <f>+Mitgl!R20</f>
        <v>0</v>
      </c>
      <c r="S22" s="525">
        <f>+Mitgl!S20</f>
        <v>0</v>
      </c>
      <c r="T22" s="526">
        <f>SUM(H22:S22)</f>
        <v>0</v>
      </c>
      <c r="U22" s="527"/>
      <c r="V22" s="525">
        <f>+Mitgl!V20</f>
        <v>0</v>
      </c>
      <c r="W22" s="525">
        <f>+Mitgl!W20</f>
        <v>0</v>
      </c>
      <c r="X22" s="525">
        <f>+Mitgl!X20</f>
        <v>0</v>
      </c>
      <c r="Y22" s="525">
        <f>+Mitgl!Y20</f>
        <v>0</v>
      </c>
      <c r="Z22" s="525">
        <f>+Mitgl!Z20</f>
        <v>0</v>
      </c>
      <c r="AA22" s="525">
        <f>+Mitgl!AA20*$C22</f>
        <v>0</v>
      </c>
      <c r="AB22" s="534">
        <f t="shared" si="7"/>
        <v>0</v>
      </c>
      <c r="AC22" s="525">
        <f>+Mitgl!AB20</f>
        <v>0</v>
      </c>
      <c r="AD22" s="525">
        <f>+Mitgl!AC20</f>
        <v>0</v>
      </c>
      <c r="AE22" s="277">
        <f>+Mitgl!AD20</f>
        <v>172165.3792</v>
      </c>
      <c r="AF22" s="525">
        <f>+Mitgl!AE20</f>
        <v>76115.791015384602</v>
      </c>
      <c r="AG22" s="525">
        <f>+Mitgl!AF20</f>
        <v>87140.254523076917</v>
      </c>
      <c r="AH22" s="525">
        <f>+Mitgl!AG20</f>
        <v>80161.871552796423</v>
      </c>
      <c r="AI22" s="529">
        <f>SUM(V22:AH22)-AB22</f>
        <v>415583.29629125795</v>
      </c>
      <c r="AJ22" s="527"/>
      <c r="AK22" s="525">
        <f>+Mitgl!AJ20</f>
        <v>81124.4444720842</v>
      </c>
      <c r="AL22" s="525">
        <f>+Mitgl!AK20</f>
        <v>88743.216730796586</v>
      </c>
      <c r="AM22" s="525">
        <f>+Mitgl!AL20</f>
        <v>94279.636145905359</v>
      </c>
      <c r="AN22" s="525">
        <f>+Mitgl!AM20</f>
        <v>100615.20451434561</v>
      </c>
      <c r="AO22" s="525">
        <f>+Mitgl!AN20</f>
        <v>101738.59661229207</v>
      </c>
      <c r="AP22" s="525">
        <f>+Mitgl!AO20</f>
        <v>99193.878117039072</v>
      </c>
      <c r="AQ22" s="525">
        <f>+Mitgl!AP20</f>
        <v>101902.31388438816</v>
      </c>
      <c r="AR22" s="525">
        <f>+Mitgl!AQ20</f>
        <v>110626.08759864753</v>
      </c>
      <c r="AS22" s="525">
        <f>+Mitgl!AR20</f>
        <v>115810.85678995273</v>
      </c>
      <c r="AT22" s="525">
        <f>+Mitgl!AS20</f>
        <v>127435.5535487158</v>
      </c>
      <c r="AU22" s="525">
        <f>+Mitgl!AT20</f>
        <v>141115.76860303266</v>
      </c>
      <c r="AV22" s="525">
        <f>+Mitgl!AU20</f>
        <v>128305.38739353552</v>
      </c>
      <c r="AW22" s="530">
        <f t="shared" ref="AW22:AW35" si="20">SUM(AK22:AV22)</f>
        <v>1290890.9444107353</v>
      </c>
      <c r="AX22" s="527"/>
      <c r="AY22" s="525">
        <f>+Mitgl!AX20</f>
        <v>130789.6707656717</v>
      </c>
      <c r="AZ22" s="525">
        <f>+Mitgl!AY20</f>
        <v>136380.46483557482</v>
      </c>
      <c r="BA22" s="525">
        <f>+Mitgl!AZ20</f>
        <v>141850.17582212071</v>
      </c>
      <c r="BB22" s="525">
        <f>+Mitgl!BA20</f>
        <v>143215.97542977566</v>
      </c>
      <c r="BC22" s="525">
        <f>+Mitgl!BB20</f>
        <v>141797.95373941591</v>
      </c>
      <c r="BD22" s="525">
        <f>+Mitgl!BC20</f>
        <v>136583.18067227968</v>
      </c>
      <c r="BE22" s="525">
        <f>+Mitgl!BD20</f>
        <v>139376.2386130621</v>
      </c>
      <c r="BF22" s="525">
        <f>+Mitgl!BE20</f>
        <v>150215.66990746206</v>
      </c>
      <c r="BG22" s="525">
        <f>+Mitgl!BF20</f>
        <v>155349.47118736879</v>
      </c>
      <c r="BH22" s="525">
        <f>+Mitgl!BG20</f>
        <v>168019.12277540856</v>
      </c>
      <c r="BI22" s="525">
        <f>+Mitgl!BH20</f>
        <v>183183.40347063559</v>
      </c>
      <c r="BJ22" s="525">
        <f>+Mitgl!BI20</f>
        <v>164257.46978287614</v>
      </c>
      <c r="BK22" s="532">
        <f t="shared" ref="BK22:BK35" si="21">SUM(AY22:BJ22)</f>
        <v>1791018.7970016515</v>
      </c>
      <c r="BL22" s="527"/>
      <c r="BM22" s="525">
        <f>+Mitgl!BL20</f>
        <v>165574.18641998904</v>
      </c>
      <c r="BN22" s="525">
        <f>+Mitgl!BM20</f>
        <v>170960.72973909028</v>
      </c>
      <c r="BO22" s="525">
        <f>+Mitgl!BN20</f>
        <v>176145.29559204544</v>
      </c>
      <c r="BP22" s="525">
        <f>+Mitgl!BO20</f>
        <v>176211.63006652272</v>
      </c>
      <c r="BQ22" s="525">
        <f>+Mitgl!BP20</f>
        <v>172916.94253053534</v>
      </c>
      <c r="BR22" s="525">
        <f>+Mitgl!BQ20</f>
        <v>165094.2616489997</v>
      </c>
      <c r="BS22" s="525">
        <f>+Mitgl!BR20</f>
        <v>166999.71669383443</v>
      </c>
      <c r="BT22" s="525">
        <f>+Mitgl!BS20</f>
        <v>178500.75346539108</v>
      </c>
      <c r="BU22" s="525">
        <f>+Mitgl!BT20</f>
        <v>183108.09803231759</v>
      </c>
      <c r="BV22" s="525">
        <f>+Mitgl!BU20</f>
        <v>196437.89135474694</v>
      </c>
      <c r="BW22" s="525">
        <f>+Mitgl!BV20</f>
        <v>212600.25218100648</v>
      </c>
      <c r="BX22" s="525">
        <f>+Mitgl!BW20</f>
        <v>188302.07453433843</v>
      </c>
      <c r="BY22" s="582">
        <f>SUM(BM22:BX22)</f>
        <v>2152851.8322588173</v>
      </c>
      <c r="BZ22" s="33">
        <f>BZ5*(BY22/BY5)</f>
        <v>2388104.2216507806</v>
      </c>
      <c r="CA22" s="33">
        <f>CA5*(BY22/BY5)</f>
        <v>2623946.4206324844</v>
      </c>
      <c r="CB22" s="33"/>
      <c r="CC22" s="33"/>
      <c r="CD22" s="33"/>
    </row>
    <row r="23" spans="1:82" s="35" customFormat="1" ht="14.5" x14ac:dyDescent="0.4">
      <c r="A23" s="194">
        <v>5</v>
      </c>
      <c r="B23" s="27" t="str">
        <f>Mitgl!B25</f>
        <v>umsatzabhängiger Aufwand inkl. USt.</v>
      </c>
      <c r="C23" s="30"/>
      <c r="D23" s="30"/>
      <c r="E23" s="30"/>
      <c r="F23" s="30"/>
      <c r="G23" s="30"/>
      <c r="H23" s="525">
        <f>+Mitgl!H25</f>
        <v>0</v>
      </c>
      <c r="I23" s="525">
        <f>+Mitgl!I25</f>
        <v>0</v>
      </c>
      <c r="J23" s="525">
        <f>+Mitgl!J25</f>
        <v>0</v>
      </c>
      <c r="K23" s="525">
        <f>+Mitgl!K25</f>
        <v>0</v>
      </c>
      <c r="L23" s="525">
        <f>+Mitgl!L25</f>
        <v>0</v>
      </c>
      <c r="M23" s="525">
        <f>+Mitgl!M25</f>
        <v>0</v>
      </c>
      <c r="N23" s="525">
        <f>+Mitgl!N25</f>
        <v>0</v>
      </c>
      <c r="O23" s="525">
        <f>+Mitgl!O25</f>
        <v>0</v>
      </c>
      <c r="P23" s="525">
        <f>+Mitgl!P25</f>
        <v>0</v>
      </c>
      <c r="Q23" s="525">
        <f>+Mitgl!Q25</f>
        <v>0</v>
      </c>
      <c r="R23" s="525">
        <f>+Mitgl!R25</f>
        <v>0</v>
      </c>
      <c r="S23" s="525">
        <f>+Mitgl!S25</f>
        <v>0</v>
      </c>
      <c r="T23" s="526">
        <f>SUM(H23:S23)</f>
        <v>0</v>
      </c>
      <c r="U23" s="527"/>
      <c r="V23" s="525">
        <f>+Mitgl!V25</f>
        <v>0</v>
      </c>
      <c r="W23" s="525">
        <f>+Mitgl!W25</f>
        <v>0</v>
      </c>
      <c r="X23" s="525">
        <f>+Mitgl!X25</f>
        <v>0</v>
      </c>
      <c r="Y23" s="525">
        <f>+Mitgl!Y25</f>
        <v>0</v>
      </c>
      <c r="Z23" s="525">
        <f>+Mitgl!Z25</f>
        <v>0</v>
      </c>
      <c r="AA23" s="525">
        <f>+Mitgl!AA25</f>
        <v>0</v>
      </c>
      <c r="AB23" s="534">
        <f t="shared" si="7"/>
        <v>0</v>
      </c>
      <c r="AC23" s="525">
        <f>+Mitgl!AB25</f>
        <v>0</v>
      </c>
      <c r="AD23" s="525">
        <f>+Mitgl!AC25</f>
        <v>0</v>
      </c>
      <c r="AE23" s="277">
        <f>+Mitgl!AD25</f>
        <v>283.45363199999997</v>
      </c>
      <c r="AF23" s="525">
        <f>+Mitgl!AE25</f>
        <v>326.17804799999999</v>
      </c>
      <c r="AG23" s="525">
        <f>+Mitgl!AF25</f>
        <v>406.04928000000012</v>
      </c>
      <c r="AH23" s="525">
        <f>+Mitgl!AG25</f>
        <v>349.82707200000004</v>
      </c>
      <c r="AI23" s="529">
        <f>SUM(V23:AH23)-AB23</f>
        <v>1365.5080320000002</v>
      </c>
      <c r="AJ23" s="527"/>
      <c r="AK23" s="525">
        <f>+Mitgl!AJ25</f>
        <v>351.78312295231103</v>
      </c>
      <c r="AL23" s="525">
        <f>+Mitgl!AK25</f>
        <v>394.4124719497558</v>
      </c>
      <c r="AM23" s="525">
        <f>+Mitgl!AL25</f>
        <v>413.33130438323354</v>
      </c>
      <c r="AN23" s="525">
        <f>+Mitgl!AM25</f>
        <v>448.68222045877764</v>
      </c>
      <c r="AO23" s="525">
        <f>+Mitgl!AN25</f>
        <v>456.11331054545457</v>
      </c>
      <c r="AP23" s="525">
        <f>+Mitgl!AO25</f>
        <v>437.36286181727161</v>
      </c>
      <c r="AQ23" s="525">
        <f>+Mitgl!AP25</f>
        <v>442.79354998890949</v>
      </c>
      <c r="AR23" s="525">
        <f>+Mitgl!AQ25</f>
        <v>493.27542790562615</v>
      </c>
      <c r="AS23" s="525">
        <f>+Mitgl!AR25</f>
        <v>507.49873257412889</v>
      </c>
      <c r="AT23" s="525">
        <f>+Mitgl!AS25</f>
        <v>547.55281176595508</v>
      </c>
      <c r="AU23" s="525">
        <f>+Mitgl!AT25</f>
        <v>658.263444467005</v>
      </c>
      <c r="AV23" s="525">
        <f>+Mitgl!AU25</f>
        <v>554.38323186688854</v>
      </c>
      <c r="AW23" s="530">
        <f t="shared" si="20"/>
        <v>5705.4524906753168</v>
      </c>
      <c r="AX23" s="527"/>
      <c r="AY23" s="525">
        <f>+Mitgl!AX25</f>
        <v>578.28068643037193</v>
      </c>
      <c r="AZ23" s="525">
        <f>+Mitgl!AY25</f>
        <v>601.71867416418786</v>
      </c>
      <c r="BA23" s="525">
        <f>+Mitgl!AZ25</f>
        <v>631.8253459997444</v>
      </c>
      <c r="BB23" s="525">
        <f>+Mitgl!BA25</f>
        <v>636.13390309269994</v>
      </c>
      <c r="BC23" s="525">
        <f>+Mitgl!BB25</f>
        <v>636.31470620240657</v>
      </c>
      <c r="BD23" s="525">
        <f>+Mitgl!BC25</f>
        <v>602.05445242494636</v>
      </c>
      <c r="BE23" s="525">
        <f>+Mitgl!BD25</f>
        <v>606.13241491818007</v>
      </c>
      <c r="BF23" s="525">
        <f>+Mitgl!BE25</f>
        <v>670.98193469308046</v>
      </c>
      <c r="BG23" s="525">
        <f>+Mitgl!BF25</f>
        <v>682.55213369538444</v>
      </c>
      <c r="BH23" s="525">
        <f>+Mitgl!BG25</f>
        <v>723.57702278072679</v>
      </c>
      <c r="BI23" s="525">
        <f>+Mitgl!BH25</f>
        <v>855.40927355688154</v>
      </c>
      <c r="BJ23" s="525">
        <f>+Mitgl!BI25</f>
        <v>710.05701063075605</v>
      </c>
      <c r="BK23" s="532">
        <f t="shared" si="21"/>
        <v>7935.0375585893662</v>
      </c>
      <c r="BL23" s="527"/>
      <c r="BM23" s="525">
        <f>+Mitgl!BL25</f>
        <v>732.81039924360346</v>
      </c>
      <c r="BN23" s="525">
        <f>+Mitgl!BM25</f>
        <v>755.07435689762031</v>
      </c>
      <c r="BO23" s="525">
        <f>+Mitgl!BN25</f>
        <v>785.32879666511735</v>
      </c>
      <c r="BP23" s="525">
        <f>+Mitgl!BO25</f>
        <v>783.37835002233794</v>
      </c>
      <c r="BQ23" s="525">
        <f>+Mitgl!BP25</f>
        <v>776.54999513890925</v>
      </c>
      <c r="BR23" s="525">
        <f>+Mitgl!BQ25</f>
        <v>728.29846889989608</v>
      </c>
      <c r="BS23" s="525">
        <f>+Mitgl!BR25</f>
        <v>726.96763202700026</v>
      </c>
      <c r="BT23" s="525">
        <f>+Mitgl!BS25</f>
        <v>798.04313129431591</v>
      </c>
      <c r="BU23" s="525">
        <f>+Mitgl!BT25</f>
        <v>805.21121600531899</v>
      </c>
      <c r="BV23" s="525">
        <f>+Mitgl!BU25</f>
        <v>846.84574441737243</v>
      </c>
      <c r="BW23" s="525">
        <f>+Mitgl!BV25</f>
        <v>993.39724099555553</v>
      </c>
      <c r="BX23" s="525">
        <f>+Mitgl!BW25</f>
        <v>818.37530832433117</v>
      </c>
      <c r="BY23" s="533">
        <f>SUM(BM23:BX23)</f>
        <v>9550.2806399313795</v>
      </c>
      <c r="BZ23" s="33">
        <f>BZ5*0.0035</f>
        <v>10593.885362858529</v>
      </c>
      <c r="CA23" s="33">
        <f>CA5*0.0035</f>
        <v>11640.106544113991</v>
      </c>
      <c r="CB23" s="33"/>
      <c r="CC23" s="33"/>
      <c r="CD23" s="33"/>
    </row>
    <row r="24" spans="1:82" ht="14.5" x14ac:dyDescent="0.4">
      <c r="B24" s="583" t="s">
        <v>579</v>
      </c>
      <c r="C24" s="404"/>
      <c r="D24" s="404"/>
      <c r="E24" s="404"/>
      <c r="F24" s="404"/>
      <c r="G24" s="404"/>
      <c r="H24" s="584">
        <f>+Aufwand!H7</f>
        <v>7593.53</v>
      </c>
      <c r="I24" s="584">
        <f>+Aufwand!I7</f>
        <v>2482.39</v>
      </c>
      <c r="J24" s="584">
        <f>+Aufwand!J7</f>
        <v>0</v>
      </c>
      <c r="K24" s="584">
        <f>+Aufwand!K7</f>
        <v>2711.4</v>
      </c>
      <c r="L24" s="584">
        <f>+Aufwand!L7</f>
        <v>8817.14</v>
      </c>
      <c r="M24" s="584">
        <f>+Aufwand!M7</f>
        <v>5422.81</v>
      </c>
      <c r="N24" s="584">
        <f>+Aufwand!N7</f>
        <v>7665.62</v>
      </c>
      <c r="O24" s="584">
        <f>+Aufwand!O7</f>
        <v>11754.31</v>
      </c>
      <c r="P24" s="584">
        <f>+Aufwand!P7</f>
        <v>9694.07</v>
      </c>
      <c r="Q24" s="584">
        <f>+Aufwand!Q7</f>
        <v>16594.439999999999</v>
      </c>
      <c r="R24" s="584">
        <f>+Aufwand!R7</f>
        <v>9700.07</v>
      </c>
      <c r="S24" s="584">
        <f>+Aufwand!S7</f>
        <v>17507.84</v>
      </c>
      <c r="T24" s="585">
        <f>SUM(H24:S24)</f>
        <v>99943.62</v>
      </c>
      <c r="U24" s="585"/>
      <c r="V24" s="584">
        <f>Aufwand!V5</f>
        <v>7683.4131428571118</v>
      </c>
      <c r="W24" s="584">
        <f>Aufwand!W5</f>
        <v>7683.4131428571118</v>
      </c>
      <c r="X24" s="584">
        <f>Aufwand!X5</f>
        <v>7683.4131428571118</v>
      </c>
      <c r="Y24" s="584">
        <f>Aufwand!Y5</f>
        <v>7683.4131428571118</v>
      </c>
      <c r="Z24" s="584">
        <f>Aufwand!Z5</f>
        <v>15366.826285714294</v>
      </c>
      <c r="AA24" s="584">
        <f>Aufwand!AA5</f>
        <v>9860.4185142857041</v>
      </c>
      <c r="AB24" s="556">
        <f t="shared" si="7"/>
        <v>55960.897371428444</v>
      </c>
      <c r="AC24" s="584">
        <f>Aufwand!AB5</f>
        <v>9860.4185142857041</v>
      </c>
      <c r="AD24" s="584">
        <f>Aufwand!AC5</f>
        <v>11250.022628571407</v>
      </c>
      <c r="AE24" s="584">
        <f>Aufwand!AD5</f>
        <v>15502.083428571408</v>
      </c>
      <c r="AF24" s="584">
        <f>Aufwand!AE5</f>
        <v>26777.440885714273</v>
      </c>
      <c r="AG24" s="584">
        <f>Aufwand!AF5</f>
        <v>15502.083428571408</v>
      </c>
      <c r="AH24" s="584">
        <f>Aufwand!AG5</f>
        <v>13352.113028571408</v>
      </c>
      <c r="AI24" s="586"/>
      <c r="AJ24" s="585"/>
      <c r="AK24" s="584">
        <f>Aufwand!AJ5</f>
        <v>14152.732758514263</v>
      </c>
      <c r="AL24" s="584">
        <f>Aufwand!AK5</f>
        <v>14152.732758514263</v>
      </c>
      <c r="AM24" s="584">
        <f>Aufwand!AL5</f>
        <v>16672.732758514263</v>
      </c>
      <c r="AN24" s="584">
        <f>Aufwand!AM5</f>
        <v>14152.732758514263</v>
      </c>
      <c r="AO24" s="584">
        <f>Aufwand!AN5</f>
        <v>27585.465517028526</v>
      </c>
      <c r="AP24" s="584">
        <f>Aufwand!AO5</f>
        <v>13792.732758514263</v>
      </c>
      <c r="AQ24" s="584">
        <f>Aufwand!AP5</f>
        <v>13792.732758514263</v>
      </c>
      <c r="AR24" s="584">
        <f>Aufwand!AQ5</f>
        <v>13792.732758514263</v>
      </c>
      <c r="AS24" s="584">
        <f>Aufwand!AR5</f>
        <v>13792.732758514263</v>
      </c>
      <c r="AT24" s="584">
        <f>Aufwand!AS5</f>
        <v>27585.465517028526</v>
      </c>
      <c r="AU24" s="584">
        <f>Aufwand!AT5</f>
        <v>13792.732758514263</v>
      </c>
      <c r="AV24" s="584">
        <f>Aufwand!AU5</f>
        <v>13792.732758514263</v>
      </c>
      <c r="AW24" s="587">
        <f t="shared" si="20"/>
        <v>197058.25861919968</v>
      </c>
      <c r="AX24" s="585"/>
      <c r="AY24" s="584">
        <f>Aufwand!AX5</f>
        <v>15107.893607612321</v>
      </c>
      <c r="AZ24" s="584">
        <f>Aufwand!AY5</f>
        <v>15107.893607612321</v>
      </c>
      <c r="BA24" s="584">
        <f>Aufwand!AZ5</f>
        <v>15107.893607612321</v>
      </c>
      <c r="BB24" s="584">
        <f>Aufwand!BA5</f>
        <v>15107.893607612321</v>
      </c>
      <c r="BC24" s="584">
        <f>Aufwand!BB5</f>
        <v>30215.787215224642</v>
      </c>
      <c r="BD24" s="584">
        <f>Aufwand!BC5</f>
        <v>15107.893607612321</v>
      </c>
      <c r="BE24" s="584">
        <f>Aufwand!BD5</f>
        <v>15107.893607612321</v>
      </c>
      <c r="BF24" s="584">
        <f>Aufwand!BE5</f>
        <v>15107.893607612321</v>
      </c>
      <c r="BG24" s="584">
        <f>Aufwand!BF5</f>
        <v>15107.893607612321</v>
      </c>
      <c r="BH24" s="584">
        <f>Aufwand!BG5</f>
        <v>30215.787215224642</v>
      </c>
      <c r="BI24" s="584">
        <f>Aufwand!BH5</f>
        <v>15107.893607612321</v>
      </c>
      <c r="BJ24" s="584">
        <f>Aufwand!BI5</f>
        <v>15107.893607612321</v>
      </c>
      <c r="BK24" s="588">
        <f t="shared" si="21"/>
        <v>211510.51050657249</v>
      </c>
      <c r="BL24" s="585"/>
      <c r="BM24" s="584">
        <f>Aufwand!BL5</f>
        <v>15107.893607612321</v>
      </c>
      <c r="BN24" s="584">
        <f>Aufwand!BM5</f>
        <v>15107.893607612321</v>
      </c>
      <c r="BO24" s="584">
        <f>Aufwand!BN5</f>
        <v>15107.893607612321</v>
      </c>
      <c r="BP24" s="584">
        <f>Aufwand!BO5</f>
        <v>15107.893607612321</v>
      </c>
      <c r="BQ24" s="584">
        <f>Aufwand!BP5</f>
        <v>30215.787215224642</v>
      </c>
      <c r="BR24" s="584">
        <f>Aufwand!BQ5</f>
        <v>15107.893607612321</v>
      </c>
      <c r="BS24" s="584">
        <f>Aufwand!BR5</f>
        <v>15107.893607612321</v>
      </c>
      <c r="BT24" s="584">
        <f>Aufwand!BS5</f>
        <v>15107.893607612321</v>
      </c>
      <c r="BU24" s="584">
        <f>Aufwand!BT5</f>
        <v>15107.893607612321</v>
      </c>
      <c r="BV24" s="584">
        <f>Aufwand!BU5</f>
        <v>30215.787215224642</v>
      </c>
      <c r="BW24" s="584">
        <f>Aufwand!BV5</f>
        <v>15107.893607612321</v>
      </c>
      <c r="BX24" s="584">
        <f>Aufwand!BW5</f>
        <v>15107.893607612321</v>
      </c>
      <c r="BY24" s="533">
        <f>SUM(BM24:BX24)</f>
        <v>211510.51050657249</v>
      </c>
      <c r="BZ24" s="33">
        <f>Aufwand!CL7</f>
        <v>312056.34022330801</v>
      </c>
      <c r="CA24" s="33">
        <f>Aufwand!CZ7</f>
        <v>320793.91774956061</v>
      </c>
      <c r="CB24" s="33"/>
      <c r="CC24" s="33"/>
      <c r="CD24" s="33"/>
    </row>
    <row r="25" spans="1:82" ht="14.5" x14ac:dyDescent="0.4">
      <c r="B25" s="583" t="s">
        <v>518</v>
      </c>
      <c r="C25" s="404"/>
      <c r="D25" s="404"/>
      <c r="E25" s="404"/>
      <c r="F25" s="404"/>
      <c r="G25" s="404"/>
      <c r="H25" s="584"/>
      <c r="I25" s="584"/>
      <c r="J25" s="584"/>
      <c r="K25" s="584"/>
      <c r="L25" s="584"/>
      <c r="M25" s="584"/>
      <c r="N25" s="584"/>
      <c r="O25" s="584"/>
      <c r="P25" s="584"/>
      <c r="Q25" s="584"/>
      <c r="R25" s="584"/>
      <c r="S25" s="584"/>
      <c r="T25" s="585"/>
      <c r="U25" s="585"/>
      <c r="V25" s="584">
        <f>Aufwand!S6</f>
        <v>3829.84</v>
      </c>
      <c r="W25" s="584">
        <f>Aufwand!V6</f>
        <v>2987.9939999999883</v>
      </c>
      <c r="X25" s="584">
        <f>Aufwand!W6</f>
        <v>2987.9939999999883</v>
      </c>
      <c r="Y25" s="584">
        <f>Aufwand!X6</f>
        <v>2987.9939999999883</v>
      </c>
      <c r="Z25" s="584">
        <f>Aufwand!Y6</f>
        <v>2987.9939999999883</v>
      </c>
      <c r="AA25" s="584">
        <f>Aufwand!Z6</f>
        <v>5975.9880000000048</v>
      </c>
      <c r="AB25" s="556">
        <f t="shared" si="7"/>
        <v>21757.803999999956</v>
      </c>
      <c r="AC25" s="584">
        <f>Aufwand!AA6</f>
        <v>3834.6071999999967</v>
      </c>
      <c r="AD25" s="584">
        <f>Aufwand!AB6</f>
        <v>3834.6071999999967</v>
      </c>
      <c r="AE25" s="584">
        <f>Aufwand!AC6</f>
        <v>4375.0087999999923</v>
      </c>
      <c r="AF25" s="584">
        <f>Aufwand!AD6</f>
        <v>6028.5879999999925</v>
      </c>
      <c r="AG25" s="584">
        <f>Aufwand!AE6</f>
        <v>10413.449233333329</v>
      </c>
      <c r="AH25" s="584">
        <f>Aufwand!AF6</f>
        <v>6028.5879999999925</v>
      </c>
      <c r="AI25" s="557">
        <f>SUM(V25:AH25)-AB25</f>
        <v>56272.652433333249</v>
      </c>
      <c r="AJ25" s="585"/>
      <c r="AK25" s="584">
        <f>Aufwand!AG6</f>
        <v>5192.4883999999929</v>
      </c>
      <c r="AL25" s="584">
        <f>Aufwand!AJ6</f>
        <v>5503.8405171999921</v>
      </c>
      <c r="AM25" s="584">
        <f>Aufwand!AK6</f>
        <v>5503.8405171999921</v>
      </c>
      <c r="AN25" s="584">
        <f>Aufwand!AL6</f>
        <v>6483.8405171999921</v>
      </c>
      <c r="AO25" s="584">
        <f>Aufwand!AM6</f>
        <v>5503.8405171999921</v>
      </c>
      <c r="AP25" s="584">
        <f>Aufwand!AN6</f>
        <v>10727.681034399984</v>
      </c>
      <c r="AQ25" s="584">
        <f>Aufwand!AO6</f>
        <v>5363.8405171999921</v>
      </c>
      <c r="AR25" s="584">
        <f>Aufwand!AP6</f>
        <v>5363.8405171999921</v>
      </c>
      <c r="AS25" s="584">
        <f>Aufwand!AQ6</f>
        <v>5363.8405171999921</v>
      </c>
      <c r="AT25" s="584">
        <f>Aufwand!AR6</f>
        <v>5363.8405171999921</v>
      </c>
      <c r="AU25" s="584">
        <f>Aufwand!AS6</f>
        <v>10727.681034399984</v>
      </c>
      <c r="AV25" s="584">
        <f>Aufwand!AT6</f>
        <v>5363.8405171999921</v>
      </c>
      <c r="AW25" s="587">
        <f t="shared" si="20"/>
        <v>76462.415123599887</v>
      </c>
      <c r="AX25" s="585"/>
      <c r="AY25" s="584">
        <f>Aufwand!AU6</f>
        <v>5363.8405171999921</v>
      </c>
      <c r="AZ25" s="584">
        <f>Aufwand!AX6</f>
        <v>5875.2919585159034</v>
      </c>
      <c r="BA25" s="584">
        <f>Aufwand!AY6</f>
        <v>5875.2919585159034</v>
      </c>
      <c r="BB25" s="584">
        <f>Aufwand!AZ6</f>
        <v>5875.2919585159034</v>
      </c>
      <c r="BC25" s="584">
        <f>Aufwand!BA6</f>
        <v>5875.2919585159034</v>
      </c>
      <c r="BD25" s="584">
        <f>Aufwand!BB6</f>
        <v>11750.583917031807</v>
      </c>
      <c r="BE25" s="584">
        <f>Aufwand!BC6</f>
        <v>5875.2919585159034</v>
      </c>
      <c r="BF25" s="584">
        <f>Aufwand!BD6</f>
        <v>5875.2919585159034</v>
      </c>
      <c r="BG25" s="584">
        <f>Aufwand!BE6</f>
        <v>5875.2919585159034</v>
      </c>
      <c r="BH25" s="584">
        <f>Aufwand!BF6</f>
        <v>5875.2919585159034</v>
      </c>
      <c r="BI25" s="584">
        <f>Aufwand!BG6</f>
        <v>11750.583917031807</v>
      </c>
      <c r="BJ25" s="584">
        <f>Aufwand!BH6</f>
        <v>5875.2919585159034</v>
      </c>
      <c r="BK25" s="588">
        <f t="shared" si="21"/>
        <v>81742.635977906728</v>
      </c>
      <c r="BL25" s="585"/>
      <c r="BM25" s="584">
        <f>Aufwand!BL6</f>
        <v>5875.2919585159034</v>
      </c>
      <c r="BN25" s="584">
        <f>Aufwand!BM6</f>
        <v>5875.2919585159034</v>
      </c>
      <c r="BO25" s="584">
        <f>Aufwand!BN6</f>
        <v>5875.2919585159034</v>
      </c>
      <c r="BP25" s="584">
        <f>Aufwand!BO6</f>
        <v>5875.2919585159034</v>
      </c>
      <c r="BQ25" s="584">
        <f>Aufwand!BP6</f>
        <v>11750.583917031807</v>
      </c>
      <c r="BR25" s="584">
        <f>Aufwand!BQ6</f>
        <v>5875.2919585159034</v>
      </c>
      <c r="BS25" s="584">
        <f>Aufwand!BR6</f>
        <v>5875.2919585159034</v>
      </c>
      <c r="BT25" s="584">
        <f>Aufwand!BS6</f>
        <v>5875.2919585159034</v>
      </c>
      <c r="BU25" s="584">
        <f>Aufwand!BT6</f>
        <v>5875.2919585159034</v>
      </c>
      <c r="BV25" s="584">
        <f>Aufwand!BU6</f>
        <v>11750.583917031807</v>
      </c>
      <c r="BW25" s="584">
        <f>Aufwand!BV6</f>
        <v>5875.2919585159034</v>
      </c>
      <c r="BX25" s="584">
        <f>Aufwand!BW6</f>
        <v>5875.2919585159034</v>
      </c>
      <c r="BY25" s="533"/>
      <c r="BZ25" s="33"/>
      <c r="CA25" s="33"/>
      <c r="CB25" s="33"/>
      <c r="CC25" s="33"/>
      <c r="CD25" s="33"/>
    </row>
    <row r="26" spans="1:82" s="251" customFormat="1" ht="14.5" x14ac:dyDescent="0.4">
      <c r="A26" s="194"/>
      <c r="B26" s="580" t="str">
        <f>+Aufwand!B13</f>
        <v>Ausgaben Raummiete zzgl. USt.</v>
      </c>
      <c r="C26" s="30"/>
      <c r="D26" s="30"/>
      <c r="E26" s="30"/>
      <c r="F26" s="30"/>
      <c r="G26" s="30"/>
      <c r="H26" s="525">
        <f>+Aufwand!H13</f>
        <v>0</v>
      </c>
      <c r="I26" s="525">
        <f>+Aufwand!I13</f>
        <v>0</v>
      </c>
      <c r="J26" s="525">
        <f>+Aufwand!J13</f>
        <v>0</v>
      </c>
      <c r="K26" s="525">
        <f>+Aufwand!K13</f>
        <v>0</v>
      </c>
      <c r="L26" s="525">
        <f>+Aufwand!L13</f>
        <v>0</v>
      </c>
      <c r="M26" s="525">
        <f>+Aufwand!M13</f>
        <v>21450</v>
      </c>
      <c r="N26" s="525">
        <f>+Aufwand!N13</f>
        <v>0</v>
      </c>
      <c r="O26" s="525">
        <f>+Aufwand!O13</f>
        <v>2088</v>
      </c>
      <c r="P26" s="525">
        <f>+Aufwand!P13</f>
        <v>2088</v>
      </c>
      <c r="Q26" s="525">
        <f>+Aufwand!Q13</f>
        <v>2088</v>
      </c>
      <c r="R26" s="525">
        <f>+Aufwand!R13</f>
        <v>2088</v>
      </c>
      <c r="S26" s="525">
        <f>+Aufwand!S13</f>
        <v>2088</v>
      </c>
      <c r="T26" s="526">
        <f>SUM(H26:S26)</f>
        <v>31890</v>
      </c>
      <c r="U26" s="527"/>
      <c r="V26" s="525">
        <f>+Aufwand!V13</f>
        <v>2171.52</v>
      </c>
      <c r="W26" s="525">
        <f>+Aufwand!W13</f>
        <v>2171.52</v>
      </c>
      <c r="X26" s="525">
        <f>+Aufwand!X13</f>
        <v>9436</v>
      </c>
      <c r="Y26" s="525">
        <f>+Aufwand!Y13</f>
        <v>7436</v>
      </c>
      <c r="Z26" s="525">
        <f>+Aufwand!Z13</f>
        <v>7681.46</v>
      </c>
      <c r="AA26" s="525">
        <f>+Aufwand!AA13</f>
        <v>7436</v>
      </c>
      <c r="AB26" s="534">
        <f t="shared" si="7"/>
        <v>36332.5</v>
      </c>
      <c r="AC26" s="525">
        <f>+Aufwand!AB13</f>
        <v>7436</v>
      </c>
      <c r="AD26" s="525">
        <f>+Aufwand!AC13</f>
        <v>7436</v>
      </c>
      <c r="AE26" s="525">
        <f>+Aufwand!AD13</f>
        <v>7436</v>
      </c>
      <c r="AF26" s="525">
        <f>+Aufwand!AE13</f>
        <v>7436</v>
      </c>
      <c r="AG26" s="525">
        <f>+Aufwand!AF13</f>
        <v>7436</v>
      </c>
      <c r="AH26" s="525">
        <f>+Aufwand!AG13</f>
        <v>7436</v>
      </c>
      <c r="AI26" s="529">
        <f>SUM(V26:AH26)-AB26</f>
        <v>80948.5</v>
      </c>
      <c r="AJ26" s="527"/>
      <c r="AK26" s="525">
        <f>+Aufwand!AJ13</f>
        <v>7671.95</v>
      </c>
      <c r="AL26" s="525">
        <f>+Aufwand!AK13</f>
        <v>7671.95</v>
      </c>
      <c r="AM26" s="525">
        <f>+Aufwand!AL13</f>
        <v>7671.95</v>
      </c>
      <c r="AN26" s="525">
        <f>+Aufwand!AM13</f>
        <v>7671.95</v>
      </c>
      <c r="AO26" s="525">
        <f>+Aufwand!AN13</f>
        <v>7671.95</v>
      </c>
      <c r="AP26" s="525">
        <f>+Aufwand!AO13</f>
        <v>7671.95</v>
      </c>
      <c r="AQ26" s="525">
        <f>+Aufwand!AP13</f>
        <v>7671.95</v>
      </c>
      <c r="AR26" s="525" t="s">
        <v>580</v>
      </c>
      <c r="AS26" s="525">
        <f>+Aufwand!AR13</f>
        <v>7671.95</v>
      </c>
      <c r="AT26" s="525">
        <f>+Aufwand!AS13</f>
        <v>7671.95</v>
      </c>
      <c r="AU26" s="525">
        <f>+Aufwand!AT13</f>
        <v>7671.95</v>
      </c>
      <c r="AV26" s="525">
        <f>+Aufwand!AU13</f>
        <v>7671.95</v>
      </c>
      <c r="AW26" s="530">
        <f t="shared" si="20"/>
        <v>84391.449999999983</v>
      </c>
      <c r="AX26" s="527"/>
      <c r="AY26" s="525">
        <f>+Aufwand!AX13</f>
        <v>7886.4499999999989</v>
      </c>
      <c r="AZ26" s="525">
        <f>+Aufwand!AY13</f>
        <v>7886.4499999999989</v>
      </c>
      <c r="BA26" s="525">
        <f>+Aufwand!AZ13</f>
        <v>7886.4499999999989</v>
      </c>
      <c r="BB26" s="525">
        <f>+Aufwand!BA13</f>
        <v>7886.4499999999989</v>
      </c>
      <c r="BC26" s="525">
        <f>+Aufwand!BB13</f>
        <v>7886.4499999999989</v>
      </c>
      <c r="BD26" s="525">
        <f>+Aufwand!BC13</f>
        <v>7886.4499999999989</v>
      </c>
      <c r="BE26" s="525">
        <f>+Aufwand!BD13</f>
        <v>7886.4499999999989</v>
      </c>
      <c r="BF26" s="525">
        <f>+Aufwand!BE13</f>
        <v>7886.4499999999989</v>
      </c>
      <c r="BG26" s="525">
        <f>+Aufwand!BF13</f>
        <v>7886.4499999999989</v>
      </c>
      <c r="BH26" s="525">
        <f>+Aufwand!BG13</f>
        <v>7886.4499999999989</v>
      </c>
      <c r="BI26" s="525">
        <f>+Aufwand!BH13</f>
        <v>7886.4499999999989</v>
      </c>
      <c r="BJ26" s="525">
        <f>+Aufwand!BI13</f>
        <v>7886.4499999999989</v>
      </c>
      <c r="BK26" s="532">
        <f t="shared" si="21"/>
        <v>94637.39999999998</v>
      </c>
      <c r="BL26" s="527"/>
      <c r="BM26" s="525">
        <f>+Aufwand!BL13</f>
        <v>8086.65</v>
      </c>
      <c r="BN26" s="525">
        <f>+Aufwand!BM13</f>
        <v>8086.65</v>
      </c>
      <c r="BO26" s="525">
        <f>+Aufwand!BN13</f>
        <v>8086.65</v>
      </c>
      <c r="BP26" s="525">
        <f>+Aufwand!BO13</f>
        <v>8086.65</v>
      </c>
      <c r="BQ26" s="525">
        <f>+Aufwand!BP13</f>
        <v>8086.65</v>
      </c>
      <c r="BR26" s="525">
        <f>+Aufwand!BQ13</f>
        <v>8086.65</v>
      </c>
      <c r="BS26" s="525">
        <f>+Aufwand!BR13</f>
        <v>8086.65</v>
      </c>
      <c r="BT26" s="525">
        <f>+Aufwand!BS13</f>
        <v>8086.65</v>
      </c>
      <c r="BU26" s="525">
        <f>+Aufwand!BT13</f>
        <v>8086.65</v>
      </c>
      <c r="BV26" s="525">
        <f>+Aufwand!BU13</f>
        <v>8086.65</v>
      </c>
      <c r="BW26" s="525">
        <f>+Aufwand!BV13</f>
        <v>8086.65</v>
      </c>
      <c r="BX26" s="525">
        <f>+Aufwand!BW13</f>
        <v>8086.65</v>
      </c>
      <c r="BY26" s="533">
        <f t="shared" ref="BY26:BY35" si="22">SUM(BM26:BX26)</f>
        <v>97039.799999999988</v>
      </c>
      <c r="BZ26" s="33">
        <f>Aufwand!CL13</f>
        <v>99442.2</v>
      </c>
      <c r="CA26" s="33">
        <f>Aufwand!CZ13</f>
        <v>101844.59999999998</v>
      </c>
      <c r="CB26" s="33"/>
      <c r="CC26" s="33"/>
      <c r="CD26" s="33"/>
    </row>
    <row r="27" spans="1:82" s="589" customFormat="1" ht="14.5" x14ac:dyDescent="0.4">
      <c r="A27" s="194"/>
      <c r="B27" s="580" t="str">
        <f>+Aufwand!B35</f>
        <v>Ausgaben sonstiger Aufwand</v>
      </c>
      <c r="C27" s="30"/>
      <c r="D27" s="30"/>
      <c r="E27" s="30"/>
      <c r="F27" s="30"/>
      <c r="G27" s="30"/>
      <c r="H27" s="525">
        <f>+Aufwand!H35</f>
        <v>0</v>
      </c>
      <c r="I27" s="525">
        <f>+Aufwand!I35</f>
        <v>0</v>
      </c>
      <c r="J27" s="525">
        <f>+Aufwand!J35</f>
        <v>0</v>
      </c>
      <c r="K27" s="525">
        <f>+Aufwand!K35</f>
        <v>0</v>
      </c>
      <c r="L27" s="525">
        <f>+Aufwand!L35</f>
        <v>0</v>
      </c>
      <c r="M27" s="525">
        <f>+Aufwand!M35</f>
        <v>38.961038961038959</v>
      </c>
      <c r="N27" s="525">
        <f>+Aufwand!N35</f>
        <v>54</v>
      </c>
      <c r="O27" s="525">
        <f>+Aufwand!O35</f>
        <v>75</v>
      </c>
      <c r="P27" s="525">
        <f>+Aufwand!P35</f>
        <v>1337.55</v>
      </c>
      <c r="Q27" s="525">
        <f>+Aufwand!Q35</f>
        <v>57</v>
      </c>
      <c r="R27" s="525">
        <f>+Aufwand!R35</f>
        <v>57</v>
      </c>
      <c r="S27" s="525">
        <f>+Aufwand!S35</f>
        <v>57666.074600000007</v>
      </c>
      <c r="T27" s="526">
        <f>SUM(H27:S27)</f>
        <v>59285.585638961049</v>
      </c>
      <c r="U27" s="527"/>
      <c r="V27" s="525">
        <f>+Aufwand!V35</f>
        <v>3280.9748917748921</v>
      </c>
      <c r="W27" s="525">
        <f>+Aufwand!W35</f>
        <v>1408.9748917748918</v>
      </c>
      <c r="X27" s="525">
        <f>+Aufwand!X35</f>
        <v>7931.8348917748917</v>
      </c>
      <c r="Y27" s="525">
        <f>+Aufwand!Y35</f>
        <v>4084.3748917748921</v>
      </c>
      <c r="Z27" s="525">
        <f>+Aufwand!Z35</f>
        <v>11548.374891774893</v>
      </c>
      <c r="AA27" s="525">
        <f>+Aufwand!AA35</f>
        <v>7447.2322943722947</v>
      </c>
      <c r="AB27" s="534">
        <f t="shared" si="7"/>
        <v>35701.766753246753</v>
      </c>
      <c r="AC27" s="525">
        <f>+Aufwand!AB35</f>
        <v>5117.1522943722948</v>
      </c>
      <c r="AD27" s="525">
        <f>+Aufwand!AC35</f>
        <v>9085.3600865800872</v>
      </c>
      <c r="AE27" s="525">
        <f>+Aufwand!AD35</f>
        <v>8517.28761904762</v>
      </c>
      <c r="AF27" s="525">
        <f>+Aufwand!AE35</f>
        <v>5169.827619047619</v>
      </c>
      <c r="AG27" s="525">
        <f>+Aufwand!AF35</f>
        <v>5169.827619047619</v>
      </c>
      <c r="AH27" s="525">
        <f>+Aufwand!AG35</f>
        <v>8501.0798268398266</v>
      </c>
      <c r="AI27" s="529">
        <f>SUM(V27:AH27)-AB27</f>
        <v>77262.301818181819</v>
      </c>
      <c r="AJ27" s="527"/>
      <c r="AK27" s="525">
        <f>+Aufwand!AJ35</f>
        <v>8709.152564935066</v>
      </c>
      <c r="AL27" s="525">
        <f>+Aufwand!AK35</f>
        <v>7777.7525649350655</v>
      </c>
      <c r="AM27" s="525">
        <f>+Aufwand!AL35</f>
        <v>8493.2125649350655</v>
      </c>
      <c r="AN27" s="525">
        <f>+Aufwand!AM35</f>
        <v>6777.7525649350655</v>
      </c>
      <c r="AO27" s="525">
        <f>+Aufwand!AN35</f>
        <v>13679.252564935066</v>
      </c>
      <c r="AP27" s="525">
        <f>+Aufwand!AO35</f>
        <v>7485.2125649350655</v>
      </c>
      <c r="AQ27" s="525">
        <f>+Aufwand!AP35</f>
        <v>6777.7525649350655</v>
      </c>
      <c r="AR27" s="525">
        <f>+Aufwand!AQ35</f>
        <v>7777.7525649350655</v>
      </c>
      <c r="AS27" s="525">
        <f>+Aufwand!AR35</f>
        <v>8493.2125649350655</v>
      </c>
      <c r="AT27" s="525">
        <f>+Aufwand!AS35</f>
        <v>6777.7525649350655</v>
      </c>
      <c r="AU27" s="525">
        <f>+Aufwand!AT35</f>
        <v>7777.7525649350655</v>
      </c>
      <c r="AV27" s="525">
        <f>+Aufwand!AU35</f>
        <v>7506.4363649350653</v>
      </c>
      <c r="AW27" s="530">
        <f t="shared" si="20"/>
        <v>98032.994579220802</v>
      </c>
      <c r="AX27" s="527"/>
      <c r="AY27" s="525">
        <f>+Aufwand!AX35</f>
        <v>8367.8769253246755</v>
      </c>
      <c r="AZ27" s="525">
        <f>+Aufwand!AY35</f>
        <v>6382.4769253246759</v>
      </c>
      <c r="BA27" s="525">
        <f>+Aufwand!AZ35</f>
        <v>8399.2659753246753</v>
      </c>
      <c r="BB27" s="525">
        <f>+Aufwand!BA35</f>
        <v>6632.5821753246755</v>
      </c>
      <c r="BC27" s="525">
        <f>+Aufwand!BB35</f>
        <v>12699.082175324676</v>
      </c>
      <c r="BD27" s="525">
        <f>+Aufwand!BC35</f>
        <v>7361.2659753246753</v>
      </c>
      <c r="BE27" s="525">
        <f>+Aufwand!BD35</f>
        <v>6636.8795779220782</v>
      </c>
      <c r="BF27" s="525">
        <f>+Aufwand!BE35</f>
        <v>10828.279577922078</v>
      </c>
      <c r="BG27" s="525">
        <f>+Aufwand!BF35</f>
        <v>8403.5633779220771</v>
      </c>
      <c r="BH27" s="525">
        <f>+Aufwand!BG35</f>
        <v>6636.8795779220782</v>
      </c>
      <c r="BI27" s="525">
        <f>+Aufwand!BH35</f>
        <v>6636.8795779220782</v>
      </c>
      <c r="BJ27" s="525">
        <f>+Aufwand!BI35</f>
        <v>7385.9665243220779</v>
      </c>
      <c r="BK27" s="532">
        <f t="shared" si="21"/>
        <v>96370.998365880529</v>
      </c>
      <c r="BL27" s="527"/>
      <c r="BM27" s="525">
        <f>+Aufwand!BL35</f>
        <v>8817.8889718614719</v>
      </c>
      <c r="BN27" s="525">
        <f>+Aufwand!BM35</f>
        <v>6782.0889718614717</v>
      </c>
      <c r="BO27" s="525">
        <f>+Aufwand!BN35</f>
        <v>8598.1759182614715</v>
      </c>
      <c r="BP27" s="525">
        <f>+Aufwand!BO35</f>
        <v>6782.0889718614717</v>
      </c>
      <c r="BQ27" s="525">
        <f>+Aufwand!BP35</f>
        <v>13002.588971861473</v>
      </c>
      <c r="BR27" s="525">
        <f>+Aufwand!BQ35</f>
        <v>7531.1759182614715</v>
      </c>
      <c r="BS27" s="525">
        <f>+Aufwand!BR35</f>
        <v>6782.0889718614717</v>
      </c>
      <c r="BT27" s="525">
        <f>+Aufwand!BS35</f>
        <v>6782.0889718614717</v>
      </c>
      <c r="BU27" s="525">
        <f>+Aufwand!BT35</f>
        <v>8598.1759182614715</v>
      </c>
      <c r="BV27" s="525">
        <f>+Aufwand!BU35</f>
        <v>6782.0889718614717</v>
      </c>
      <c r="BW27" s="525">
        <f>+Aufwand!BV35</f>
        <v>6782.0889718614717</v>
      </c>
      <c r="BX27" s="525">
        <f>+Aufwand!BW35</f>
        <v>7553.6485266534719</v>
      </c>
      <c r="BY27" s="533">
        <f t="shared" si="22"/>
        <v>94794.188056329673</v>
      </c>
      <c r="BZ27" s="33">
        <f>Aufwand!CL35</f>
        <v>106053.31062479725</v>
      </c>
      <c r="CA27" s="33">
        <f>Aufwand!CZ35</f>
        <v>104455.99885509154</v>
      </c>
      <c r="CB27" s="33"/>
      <c r="CC27" s="33"/>
      <c r="CD27" s="33"/>
    </row>
    <row r="28" spans="1:82" s="278" customFormat="1" ht="14.5" x14ac:dyDescent="0.4">
      <c r="A28" s="194"/>
      <c r="B28" s="580" t="str">
        <f>Investitionen!B60</f>
        <v>Investitionen gesamt netto (inkl. Ausstattung)</v>
      </c>
      <c r="C28" s="30"/>
      <c r="D28" s="30"/>
      <c r="E28" s="30"/>
      <c r="F28" s="30"/>
      <c r="G28" s="30"/>
      <c r="H28" s="525">
        <f>Investitionen!H60</f>
        <v>0</v>
      </c>
      <c r="I28" s="525">
        <f>Investitionen!I60</f>
        <v>0</v>
      </c>
      <c r="J28" s="525">
        <f>Investitionen!J60</f>
        <v>0</v>
      </c>
      <c r="K28" s="525">
        <f>Investitionen!K60</f>
        <v>0</v>
      </c>
      <c r="L28" s="525">
        <f>Investitionen!L60</f>
        <v>0</v>
      </c>
      <c r="M28" s="525">
        <f>Investitionen!M60</f>
        <v>0</v>
      </c>
      <c r="N28" s="525">
        <f>Investitionen!N60</f>
        <v>0</v>
      </c>
      <c r="O28" s="525">
        <f>Investitionen!O60</f>
        <v>0</v>
      </c>
      <c r="P28" s="525">
        <f>Investitionen!P60</f>
        <v>0</v>
      </c>
      <c r="Q28" s="525">
        <f>Investitionen!Q60</f>
        <v>0</v>
      </c>
      <c r="R28" s="525">
        <f>Investitionen!R60</f>
        <v>20913.2</v>
      </c>
      <c r="S28" s="525">
        <f>Investitionen!S60</f>
        <v>0</v>
      </c>
      <c r="T28" s="525">
        <f>Investitionen!T60</f>
        <v>0</v>
      </c>
      <c r="U28" s="525">
        <f>Investitionen!U60</f>
        <v>0</v>
      </c>
      <c r="V28" s="525">
        <f>Investitionen!V60</f>
        <v>0</v>
      </c>
      <c r="W28" s="525">
        <f>Investitionen!W60</f>
        <v>0</v>
      </c>
      <c r="X28" s="525">
        <f>Investitionen!X60</f>
        <v>0</v>
      </c>
      <c r="Y28" s="525">
        <f>Investitionen!Y60</f>
        <v>6177</v>
      </c>
      <c r="Z28" s="525">
        <f>Investitionen!Z60</f>
        <v>16000</v>
      </c>
      <c r="AA28" s="525">
        <f>Investitionen!AA60</f>
        <v>301986.09999999998</v>
      </c>
      <c r="AB28" s="534">
        <f t="shared" si="7"/>
        <v>324163.09999999998</v>
      </c>
      <c r="AC28" s="525">
        <f>Investitionen!AB60</f>
        <v>225979.21666666667</v>
      </c>
      <c r="AD28" s="525">
        <f>Investitionen!AC60</f>
        <v>117584.80833333333</v>
      </c>
      <c r="AE28" s="525">
        <f>Investitionen!AD60</f>
        <v>115072.54166666667</v>
      </c>
      <c r="AF28" s="525">
        <f>Investitionen!AE60</f>
        <v>67500</v>
      </c>
      <c r="AG28" s="525">
        <f>Investitionen!AF60</f>
        <v>161240</v>
      </c>
      <c r="AH28" s="525">
        <f>Investitionen!AG60</f>
        <v>12500</v>
      </c>
      <c r="AI28" s="1019">
        <f>Investitionen!AI60</f>
        <v>0</v>
      </c>
      <c r="AJ28" s="525">
        <f>Investitionen!AJ60</f>
        <v>33652.666666666672</v>
      </c>
      <c r="AK28" s="525">
        <f>Investitionen!AJ60</f>
        <v>33652.666666666672</v>
      </c>
      <c r="AL28" s="525">
        <f>Investitionen!AK60</f>
        <v>84570.35</v>
      </c>
      <c r="AM28" s="535" t="s">
        <v>581</v>
      </c>
      <c r="AN28" s="277"/>
      <c r="AO28" s="277"/>
      <c r="AP28" s="277"/>
      <c r="AQ28" s="277"/>
      <c r="AR28" s="277"/>
      <c r="AS28" s="277"/>
      <c r="AT28" s="277"/>
      <c r="AU28" s="277"/>
      <c r="AV28" s="277"/>
      <c r="AW28" s="530">
        <f t="shared" si="20"/>
        <v>118223.01666666668</v>
      </c>
      <c r="AX28" s="527"/>
      <c r="AY28" s="535" t="s">
        <v>582</v>
      </c>
      <c r="AZ28" s="277"/>
      <c r="BA28" s="277"/>
      <c r="BB28" s="277"/>
      <c r="BC28" s="277"/>
      <c r="BD28" s="277"/>
      <c r="BE28" s="277"/>
      <c r="BF28" s="277"/>
      <c r="BG28" s="277"/>
      <c r="BH28" s="277"/>
      <c r="BI28" s="277"/>
      <c r="BJ28" s="277"/>
      <c r="BK28" s="532">
        <f t="shared" si="21"/>
        <v>0</v>
      </c>
      <c r="BL28" s="527"/>
      <c r="BM28" s="535" t="s">
        <v>582</v>
      </c>
      <c r="BN28" s="277"/>
      <c r="BO28" s="277"/>
      <c r="BP28" s="277"/>
      <c r="BQ28" s="277"/>
      <c r="BR28" s="277"/>
      <c r="BS28" s="277"/>
      <c r="BT28" s="277"/>
      <c r="BU28" s="277"/>
      <c r="BV28" s="277"/>
      <c r="BW28" s="277"/>
      <c r="BX28" s="277"/>
      <c r="BY28" s="533">
        <f t="shared" si="22"/>
        <v>0</v>
      </c>
      <c r="BZ28" s="33"/>
      <c r="CA28" s="33"/>
      <c r="CB28" s="33"/>
      <c r="CC28" s="33"/>
      <c r="CD28" s="33"/>
    </row>
    <row r="29" spans="1:82" s="278" customFormat="1" ht="14.5" x14ac:dyDescent="0.4">
      <c r="A29" s="37"/>
      <c r="B29" s="30" t="s">
        <v>583</v>
      </c>
      <c r="C29" s="30"/>
      <c r="D29" s="30"/>
      <c r="E29" s="30"/>
      <c r="F29" s="30"/>
      <c r="G29" s="30"/>
      <c r="H29" s="277">
        <f>+Bil!D39+Bil!D45+Bil!D47</f>
        <v>8195.880000000001</v>
      </c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>
        <f>-Bil!F63</f>
        <v>-42686.990000000005</v>
      </c>
      <c r="T29" s="527">
        <f t="shared" ref="T29:T35" si="23">SUM(H29:S29)</f>
        <v>-34491.11</v>
      </c>
      <c r="U29" s="527"/>
      <c r="V29" s="277">
        <f>-S29</f>
        <v>42686.990000000005</v>
      </c>
      <c r="W29" s="277"/>
      <c r="X29" s="277"/>
      <c r="Y29" s="277"/>
      <c r="Z29" s="277"/>
      <c r="AA29" s="277"/>
      <c r="AB29" s="534">
        <f t="shared" si="7"/>
        <v>42686.990000000005</v>
      </c>
      <c r="AC29" s="277"/>
      <c r="AD29" s="277"/>
      <c r="AE29" s="277"/>
      <c r="AF29" s="277"/>
      <c r="AG29" s="277"/>
      <c r="AH29" s="277"/>
      <c r="AI29" s="529">
        <f t="shared" ref="AI29:AI35" si="24">SUM(V29:AH29)-AB29</f>
        <v>42686.990000000005</v>
      </c>
      <c r="AJ29" s="527"/>
      <c r="AK29" s="277"/>
      <c r="AL29" s="277"/>
      <c r="AM29" s="277"/>
      <c r="AN29" s="277"/>
      <c r="AO29" s="277"/>
      <c r="AP29" s="277"/>
      <c r="AQ29" s="277"/>
      <c r="AR29" s="277"/>
      <c r="AS29" s="277"/>
      <c r="AT29" s="277"/>
      <c r="AU29" s="277"/>
      <c r="AV29" s="277"/>
      <c r="AW29" s="530">
        <f t="shared" si="20"/>
        <v>0</v>
      </c>
      <c r="AX29" s="527"/>
      <c r="AY29" s="277"/>
      <c r="AZ29" s="277"/>
      <c r="BA29" s="277"/>
      <c r="BB29" s="277"/>
      <c r="BC29" s="277"/>
      <c r="BD29" s="277"/>
      <c r="BE29" s="277"/>
      <c r="BF29" s="277"/>
      <c r="BG29" s="277"/>
      <c r="BH29" s="277"/>
      <c r="BI29" s="277"/>
      <c r="BJ29" s="277"/>
      <c r="BK29" s="532">
        <f t="shared" si="21"/>
        <v>0</v>
      </c>
      <c r="BL29" s="527"/>
      <c r="BM29" s="277"/>
      <c r="BN29" s="277"/>
      <c r="BO29" s="277"/>
      <c r="BP29" s="277"/>
      <c r="BQ29" s="277"/>
      <c r="BR29" s="277"/>
      <c r="BS29" s="277"/>
      <c r="BT29" s="277"/>
      <c r="BU29" s="277"/>
      <c r="BV29" s="277"/>
      <c r="BW29" s="277"/>
      <c r="BX29" s="277"/>
      <c r="BY29" s="533">
        <f t="shared" si="22"/>
        <v>0</v>
      </c>
      <c r="BZ29" s="33"/>
      <c r="CA29" s="33"/>
      <c r="CB29" s="33"/>
      <c r="CC29" s="33"/>
      <c r="CD29" s="33"/>
    </row>
    <row r="30" spans="1:82" s="278" customFormat="1" ht="14.5" x14ac:dyDescent="0.4">
      <c r="A30" s="194">
        <v>3</v>
      </c>
      <c r="B30" s="30" t="s">
        <v>584</v>
      </c>
      <c r="C30" s="30"/>
      <c r="D30" s="30"/>
      <c r="E30" s="30"/>
      <c r="F30" s="30"/>
      <c r="G30" s="30"/>
      <c r="H30" s="277">
        <f t="shared" ref="H30:S30" si="25">+H44</f>
        <v>0</v>
      </c>
      <c r="I30" s="277">
        <f t="shared" si="25"/>
        <v>0</v>
      </c>
      <c r="J30" s="277">
        <f t="shared" si="25"/>
        <v>0</v>
      </c>
      <c r="K30" s="277">
        <f t="shared" si="25"/>
        <v>0</v>
      </c>
      <c r="L30" s="277">
        <f t="shared" si="25"/>
        <v>0</v>
      </c>
      <c r="M30" s="277">
        <f t="shared" si="25"/>
        <v>4297.7922077922076</v>
      </c>
      <c r="N30" s="277">
        <f t="shared" si="25"/>
        <v>10.8</v>
      </c>
      <c r="O30" s="277">
        <f t="shared" si="25"/>
        <v>432.6</v>
      </c>
      <c r="P30" s="277">
        <f t="shared" si="25"/>
        <v>685.11000000000013</v>
      </c>
      <c r="Q30" s="277">
        <f t="shared" si="25"/>
        <v>429</v>
      </c>
      <c r="R30" s="277">
        <f t="shared" si="25"/>
        <v>4611.6400000000003</v>
      </c>
      <c r="S30" s="277">
        <f t="shared" si="25"/>
        <v>12716.782920000001</v>
      </c>
      <c r="T30" s="526">
        <f t="shared" si="23"/>
        <v>23183.725127792211</v>
      </c>
      <c r="U30" s="527"/>
      <c r="V30" s="277">
        <f t="shared" ref="V30:AA30" si="26">+V44</f>
        <v>1688.0977783549761</v>
      </c>
      <c r="W30" s="277">
        <f t="shared" si="26"/>
        <v>1313.6977783549762</v>
      </c>
      <c r="X30" s="277">
        <f t="shared" si="26"/>
        <v>4071.1657783549763</v>
      </c>
      <c r="Y30" s="277">
        <f t="shared" si="26"/>
        <v>4137.0737783549766</v>
      </c>
      <c r="Z30" s="277">
        <f t="shared" si="26"/>
        <v>8241.1645783549793</v>
      </c>
      <c r="AA30" s="277">
        <f t="shared" si="26"/>
        <v>64140.787898874463</v>
      </c>
      <c r="AB30" s="534">
        <f t="shared" si="7"/>
        <v>83591.98759064934</v>
      </c>
      <c r="AC30" s="277">
        <f t="shared" ref="AC30:AH30" si="27">+AC44</f>
        <v>48473.395232207797</v>
      </c>
      <c r="AD30" s="277">
        <f t="shared" si="27"/>
        <v>27696.235443982681</v>
      </c>
      <c r="AE30" s="277">
        <f t="shared" si="27"/>
        <v>47094.427412342862</v>
      </c>
      <c r="AF30" s="277">
        <f t="shared" si="27"/>
        <v>26846.291155830037</v>
      </c>
      <c r="AG30" s="277">
        <f t="shared" si="27"/>
        <v>45990.08199544029</v>
      </c>
      <c r="AH30" s="277">
        <f t="shared" si="27"/>
        <v>15934.332416786758</v>
      </c>
      <c r="AI30" s="529">
        <f t="shared" si="24"/>
        <v>295626.75124723976</v>
      </c>
      <c r="AJ30" s="527"/>
      <c r="AK30" s="277">
        <f t="shared" ref="AK30:AV30" si="28">+AK44</f>
        <v>19325.297140728413</v>
      </c>
      <c r="AL30" s="277">
        <f t="shared" si="28"/>
        <v>30199.619714687775</v>
      </c>
      <c r="AM30" s="277">
        <f t="shared" si="28"/>
        <v>14063.57729449687</v>
      </c>
      <c r="AN30" s="277">
        <f t="shared" si="28"/>
        <v>14449.810271714168</v>
      </c>
      <c r="AO30" s="277">
        <f t="shared" si="28"/>
        <v>15959.663188897401</v>
      </c>
      <c r="AP30" s="277">
        <f t="shared" si="28"/>
        <v>14427.007190692921</v>
      </c>
      <c r="AQ30" s="277">
        <f t="shared" si="28"/>
        <v>14595.363005805046</v>
      </c>
      <c r="AR30" s="277">
        <f t="shared" si="28"/>
        <v>15799.969584813956</v>
      </c>
      <c r="AS30" s="277">
        <f t="shared" si="28"/>
        <v>16536.969933556451</v>
      </c>
      <c r="AT30" s="277">
        <f t="shared" si="28"/>
        <v>17527.104179893809</v>
      </c>
      <c r="AU30" s="277">
        <f t="shared" si="28"/>
        <v>19308.790822626135</v>
      </c>
      <c r="AV30" s="277">
        <f t="shared" si="28"/>
        <v>17773.368082223438</v>
      </c>
      <c r="AW30" s="530">
        <f t="shared" si="20"/>
        <v>209966.54041013637</v>
      </c>
      <c r="AX30" s="527"/>
      <c r="AY30" s="277">
        <f t="shared" ref="AY30:BJ30" si="29">+AY44</f>
        <v>18276.543989637583</v>
      </c>
      <c r="AZ30" s="277">
        <f t="shared" si="29"/>
        <v>18521.502111153302</v>
      </c>
      <c r="BA30" s="277">
        <f t="shared" si="29"/>
        <v>19554.428307986647</v>
      </c>
      <c r="BB30" s="277">
        <f t="shared" si="29"/>
        <v>19357.654414677902</v>
      </c>
      <c r="BC30" s="277">
        <f t="shared" si="29"/>
        <v>20409.336102598831</v>
      </c>
      <c r="BD30" s="277">
        <f t="shared" si="29"/>
        <v>18740.436682189807</v>
      </c>
      <c r="BE30" s="277">
        <f t="shared" si="29"/>
        <v>18914.783600457133</v>
      </c>
      <c r="BF30" s="277">
        <f t="shared" si="29"/>
        <v>21001.728671973706</v>
      </c>
      <c r="BG30" s="277">
        <f t="shared" si="29"/>
        <v>21104.352817683535</v>
      </c>
      <c r="BH30" s="277">
        <f t="shared" si="29"/>
        <v>22203.561316537136</v>
      </c>
      <c r="BI30" s="277">
        <f t="shared" si="29"/>
        <v>23958.65576594825</v>
      </c>
      <c r="BJ30" s="277">
        <f t="shared" si="29"/>
        <v>21921.84626223845</v>
      </c>
      <c r="BK30" s="532">
        <f t="shared" si="21"/>
        <v>243964.8300430823</v>
      </c>
      <c r="BL30" s="527"/>
      <c r="BM30" s="277">
        <f t="shared" ref="BM30:BX30" si="30">+BM44</f>
        <v>22402.927126099767</v>
      </c>
      <c r="BN30" s="277">
        <f t="shared" si="30"/>
        <v>22614.285856008111</v>
      </c>
      <c r="BO30" s="277">
        <f t="shared" si="30"/>
        <v>23574.594640478499</v>
      </c>
      <c r="BP30" s="277">
        <f t="shared" si="30"/>
        <v>23218.549291960353</v>
      </c>
      <c r="BQ30" s="277">
        <f t="shared" si="30"/>
        <v>24085.689241881108</v>
      </c>
      <c r="BR30" s="277">
        <f t="shared" si="30"/>
        <v>22089.97070541824</v>
      </c>
      <c r="BS30" s="277">
        <f t="shared" si="30"/>
        <v>22157.109023874822</v>
      </c>
      <c r="BT30" s="277">
        <f t="shared" si="30"/>
        <v>23482.442315685741</v>
      </c>
      <c r="BU30" s="277">
        <f t="shared" si="30"/>
        <v>24372.330602537564</v>
      </c>
      <c r="BV30" s="277">
        <f t="shared" si="30"/>
        <v>25537.03655769692</v>
      </c>
      <c r="BW30" s="277">
        <f t="shared" si="30"/>
        <v>27408.855991206143</v>
      </c>
      <c r="BX30" s="277">
        <f t="shared" si="30"/>
        <v>24758.171263910142</v>
      </c>
      <c r="BY30" s="533">
        <f t="shared" si="22"/>
        <v>285701.96261675743</v>
      </c>
      <c r="BZ30" s="33"/>
      <c r="CA30" s="33"/>
      <c r="CB30" s="33"/>
      <c r="CC30" s="33"/>
      <c r="CD30" s="33"/>
    </row>
    <row r="31" spans="1:82" s="278" customFormat="1" ht="14.5" x14ac:dyDescent="0.4">
      <c r="A31" s="195"/>
      <c r="B31" s="580" t="str">
        <f>+Finanz!B20</f>
        <v>Zinsaufwand gesamt</v>
      </c>
      <c r="C31" s="30"/>
      <c r="D31" s="30"/>
      <c r="E31" s="30"/>
      <c r="F31" s="30"/>
      <c r="G31" s="30"/>
      <c r="H31" s="525">
        <f>+Finanz!H20</f>
        <v>882.0604166666667</v>
      </c>
      <c r="I31" s="525">
        <f>+Finanz!I20</f>
        <v>898.72708333333333</v>
      </c>
      <c r="J31" s="525">
        <f>+Finanz!J20</f>
        <v>898.72708333333333</v>
      </c>
      <c r="K31" s="525">
        <f>+Finanz!K20</f>
        <v>898.72708333333333</v>
      </c>
      <c r="L31" s="525">
        <f>+Finanz!L20</f>
        <v>898.72708333333333</v>
      </c>
      <c r="M31" s="525">
        <f>+Finanz!M20</f>
        <v>896.64375000000007</v>
      </c>
      <c r="N31" s="525">
        <f>+Finanz!N20</f>
        <v>917.47708333333333</v>
      </c>
      <c r="O31" s="525">
        <f>+Finanz!O20</f>
        <v>934.14375000000007</v>
      </c>
      <c r="P31" s="525">
        <f>+Finanz!P20</f>
        <v>986.4354166666667</v>
      </c>
      <c r="Q31" s="525">
        <f>+Finanz!Q20</f>
        <v>1031.8520833333334</v>
      </c>
      <c r="R31" s="525">
        <f>+Finanz!R20</f>
        <v>1037.0604166666667</v>
      </c>
      <c r="S31" s="525">
        <f>+Finanz!S20</f>
        <v>1152.6854166666667</v>
      </c>
      <c r="T31" s="526">
        <f t="shared" si="23"/>
        <v>11433.266666666668</v>
      </c>
      <c r="U31" s="527"/>
      <c r="V31" s="525">
        <f>+Finanz!V20</f>
        <v>1318.9333333333334</v>
      </c>
      <c r="W31" s="525">
        <f>+Finanz!W20</f>
        <v>1639.9750000000001</v>
      </c>
      <c r="X31" s="525">
        <f>+Finanz!X20</f>
        <v>3768.1000000000004</v>
      </c>
      <c r="Y31" s="525">
        <f>+Finanz!Y20</f>
        <v>1778.5166666666667</v>
      </c>
      <c r="Z31" s="525">
        <f>+Finanz!Z20</f>
        <v>1778.5166666666667</v>
      </c>
      <c r="AA31" s="525">
        <f>+Finanz!AA20</f>
        <v>1778.5166666666667</v>
      </c>
      <c r="AB31" s="534">
        <f t="shared" si="7"/>
        <v>12062.558333333334</v>
      </c>
      <c r="AC31" s="525">
        <f>+Finanz!AB20</f>
        <v>1778.5166666666667</v>
      </c>
      <c r="AD31" s="525">
        <f>+Finanz!AC20</f>
        <v>1882.6833333333334</v>
      </c>
      <c r="AE31" s="525">
        <f>+Finanz!AD20</f>
        <v>1882.6833333333334</v>
      </c>
      <c r="AF31" s="525">
        <f>+Finanz!AE20</f>
        <v>1882.6833333333334</v>
      </c>
      <c r="AG31" s="525">
        <f>+Finanz!AF20</f>
        <v>2882.6833333333334</v>
      </c>
      <c r="AH31" s="525">
        <f>+Finanz!AG20</f>
        <v>2871.6133333333332</v>
      </c>
      <c r="AI31" s="529">
        <f t="shared" si="24"/>
        <v>25243.421666666669</v>
      </c>
      <c r="AJ31" s="527"/>
      <c r="AK31" s="525">
        <f>+Finanz!AJ20</f>
        <v>2922.3629833333334</v>
      </c>
      <c r="AL31" s="525">
        <f>+Finanz!AK20</f>
        <v>2911.1820065833335</v>
      </c>
      <c r="AM31" s="525">
        <f>+Finanz!AL20</f>
        <v>2795.7784582829163</v>
      </c>
      <c r="AN31" s="525">
        <f>+Finanz!AM20</f>
        <v>2992.818725574331</v>
      </c>
      <c r="AO31" s="525">
        <f>+Finanz!AN20</f>
        <v>3148.1358608688697</v>
      </c>
      <c r="AP31" s="525">
        <f>+Finanz!AO20</f>
        <v>3240.8962485065472</v>
      </c>
      <c r="AQ31" s="525">
        <f>+Finanz!AP20</f>
        <v>3375.2662714157468</v>
      </c>
      <c r="AR31" s="525">
        <f>+Finanz!AQ20</f>
        <v>3342.9123111061585</v>
      </c>
      <c r="AS31" s="525">
        <f>+Finanz!AR20</f>
        <v>2423.7249999999999</v>
      </c>
      <c r="AT31" s="525">
        <f>+Finanz!AS20</f>
        <v>2361.2249999999999</v>
      </c>
      <c r="AU31" s="525">
        <f>+Finanz!AT20</f>
        <v>2298.7249999999999</v>
      </c>
      <c r="AV31" s="525">
        <f>+Finanz!AU20</f>
        <v>2215.3916666666669</v>
      </c>
      <c r="AW31" s="530">
        <f t="shared" si="20"/>
        <v>34028.419532337895</v>
      </c>
      <c r="AX31" s="527"/>
      <c r="AY31" s="525">
        <f>+Finanz!AX20</f>
        <v>2197.6685333333335</v>
      </c>
      <c r="AZ31" s="525">
        <f>+Finanz!AY20</f>
        <v>2179.9454000000001</v>
      </c>
      <c r="BA31" s="525">
        <f>+Finanz!AZ20</f>
        <v>2162.2222666666662</v>
      </c>
      <c r="BB31" s="525">
        <f>+Finanz!BA20</f>
        <v>2144.4991333333332</v>
      </c>
      <c r="BC31" s="525">
        <f>+Finanz!BB20</f>
        <v>2126.7759999999994</v>
      </c>
      <c r="BD31" s="525">
        <f>+Finanz!BC20</f>
        <v>2109.0528666666664</v>
      </c>
      <c r="BE31" s="525">
        <f>+Finanz!BD20</f>
        <v>2091.3297333333326</v>
      </c>
      <c r="BF31" s="525">
        <f>+Finanz!BE20</f>
        <v>2073.6065999999992</v>
      </c>
      <c r="BG31" s="525">
        <f>+Finanz!BF20</f>
        <v>2055.8834666666658</v>
      </c>
      <c r="BH31" s="525">
        <f>+Finanz!BG20</f>
        <v>2038.1603333333323</v>
      </c>
      <c r="BI31" s="525">
        <f>+Finanz!BH20</f>
        <v>2002.7140666666658</v>
      </c>
      <c r="BJ31" s="525">
        <f>+Finanz!BI20</f>
        <v>1967.2677999999989</v>
      </c>
      <c r="BK31" s="532">
        <f t="shared" si="21"/>
        <v>25149.126199999995</v>
      </c>
      <c r="BL31" s="527"/>
      <c r="BM31" s="525">
        <f>+Finanz!BL20</f>
        <v>1947.595121999999</v>
      </c>
      <c r="BN31" s="525">
        <f>+Finanz!BM20</f>
        <v>1927.9224439999991</v>
      </c>
      <c r="BO31" s="525">
        <f>+Finanz!BN20</f>
        <v>1908.2497659999992</v>
      </c>
      <c r="BP31" s="525">
        <f>+Finanz!BO20</f>
        <v>1888.5770879999993</v>
      </c>
      <c r="BQ31" s="525">
        <f>+Finanz!BP20</f>
        <v>1868.9044099999992</v>
      </c>
      <c r="BR31" s="525">
        <f>+Finanz!BQ20</f>
        <v>1849.2317319999993</v>
      </c>
      <c r="BS31" s="525">
        <f>+Finanz!BR20</f>
        <v>1829.5590539999994</v>
      </c>
      <c r="BT31" s="525">
        <f>+Finanz!BS20</f>
        <v>1809.8863759999995</v>
      </c>
      <c r="BU31" s="525">
        <f>+Finanz!BT20</f>
        <v>1790.2136979999996</v>
      </c>
      <c r="BV31" s="525">
        <f>+Finanz!BU20</f>
        <v>1770.5410199999994</v>
      </c>
      <c r="BW31" s="525">
        <f>+Finanz!BV20</f>
        <v>1750.8683419999995</v>
      </c>
      <c r="BX31" s="525">
        <f>+Finanz!BW20</f>
        <v>1731.1956639999996</v>
      </c>
      <c r="BY31" s="533">
        <f t="shared" si="22"/>
        <v>22072.744715999994</v>
      </c>
      <c r="BZ31" s="33">
        <f>Finanz!CK6</f>
        <v>18748.849041119993</v>
      </c>
      <c r="CA31" s="33">
        <f>Finanz!CX6</f>
        <v>15618.57505327999</v>
      </c>
      <c r="CB31" s="33"/>
      <c r="CC31" s="33"/>
      <c r="CD31" s="33"/>
    </row>
    <row r="32" spans="1:82" s="278" customFormat="1" ht="14.5" x14ac:dyDescent="0.4">
      <c r="A32" s="194">
        <v>8530</v>
      </c>
      <c r="B32" s="404" t="s">
        <v>585</v>
      </c>
      <c r="C32" s="30"/>
      <c r="D32" s="30"/>
      <c r="E32" s="30"/>
      <c r="F32" s="30"/>
      <c r="G32" s="30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527">
        <f t="shared" si="23"/>
        <v>0</v>
      </c>
      <c r="U32" s="527"/>
      <c r="V32" s="277"/>
      <c r="W32" s="277"/>
      <c r="X32" s="277"/>
      <c r="Y32" s="277"/>
      <c r="Z32" s="546"/>
      <c r="AA32" s="546"/>
      <c r="AB32" s="534">
        <f t="shared" si="7"/>
        <v>0</v>
      </c>
      <c r="AC32" s="277"/>
      <c r="AD32" s="546"/>
      <c r="AE32" s="277"/>
      <c r="AF32" s="277"/>
      <c r="AG32" s="277"/>
      <c r="AH32" s="277"/>
      <c r="AI32" s="529">
        <f t="shared" si="24"/>
        <v>0</v>
      </c>
      <c r="AJ32" s="527"/>
      <c r="AK32" s="546"/>
      <c r="AL32" s="277"/>
      <c r="AM32" s="277"/>
      <c r="AN32" s="277"/>
      <c r="AO32" s="277"/>
      <c r="AP32" s="277"/>
      <c r="AQ32" s="277"/>
      <c r="AR32" s="277"/>
      <c r="AS32" s="277"/>
      <c r="AT32" s="277"/>
      <c r="AU32" s="277"/>
      <c r="AV32" s="277"/>
      <c r="AW32" s="530">
        <f t="shared" si="20"/>
        <v>0</v>
      </c>
      <c r="AX32" s="527"/>
      <c r="AY32" s="277"/>
      <c r="AZ32" s="277"/>
      <c r="BA32" s="277"/>
      <c r="BB32" s="277"/>
      <c r="BC32" s="277"/>
      <c r="BD32" s="277"/>
      <c r="BE32" s="277"/>
      <c r="BF32" s="277"/>
      <c r="BG32" s="277"/>
      <c r="BH32" s="277"/>
      <c r="BI32" s="277"/>
      <c r="BJ32" s="277"/>
      <c r="BK32" s="532">
        <f t="shared" si="21"/>
        <v>0</v>
      </c>
      <c r="BL32" s="527"/>
      <c r="BM32" s="277"/>
      <c r="BN32" s="277"/>
      <c r="BO32" s="277"/>
      <c r="BP32" s="277"/>
      <c r="BQ32" s="277"/>
      <c r="BR32" s="277"/>
      <c r="BS32" s="277"/>
      <c r="BT32" s="277"/>
      <c r="BU32" s="277"/>
      <c r="BV32" s="277"/>
      <c r="BW32" s="277"/>
      <c r="BX32" s="277"/>
      <c r="BY32" s="533">
        <f t="shared" si="22"/>
        <v>0</v>
      </c>
      <c r="BZ32" s="33"/>
      <c r="CA32" s="33"/>
      <c r="CB32" s="33"/>
      <c r="CC32" s="33"/>
      <c r="CD32" s="33"/>
    </row>
    <row r="33" spans="1:82" s="280" customFormat="1" ht="14.5" x14ac:dyDescent="0.4">
      <c r="A33" s="590"/>
      <c r="B33" s="535" t="str">
        <f>Finanz!C15</f>
        <v>Veränderung/Tilgung</v>
      </c>
      <c r="C33" s="30"/>
      <c r="D33" s="30"/>
      <c r="E33" s="30"/>
      <c r="F33" s="30"/>
      <c r="G33" s="30"/>
      <c r="H33" s="277">
        <f>Finanz!H15</f>
        <v>0</v>
      </c>
      <c r="I33" s="277">
        <f>Finanz!I15</f>
        <v>0</v>
      </c>
      <c r="J33" s="277">
        <f>Finanz!J15</f>
        <v>0</v>
      </c>
      <c r="K33" s="277">
        <f>Finanz!K15</f>
        <v>0</v>
      </c>
      <c r="L33" s="277">
        <f>Finanz!L15</f>
        <v>0</v>
      </c>
      <c r="M33" s="277">
        <f>Finanz!M15</f>
        <v>0</v>
      </c>
      <c r="N33" s="277">
        <f>Finanz!N15</f>
        <v>0</v>
      </c>
      <c r="O33" s="277">
        <f>Finanz!O15</f>
        <v>0</v>
      </c>
      <c r="P33" s="277">
        <f>Finanz!P15</f>
        <v>0</v>
      </c>
      <c r="Q33" s="277">
        <f>Finanz!Q15</f>
        <v>0</v>
      </c>
      <c r="R33" s="277">
        <f>Finanz!R15</f>
        <v>0</v>
      </c>
      <c r="S33" s="277">
        <f>Finanz!S15</f>
        <v>0</v>
      </c>
      <c r="T33" s="527">
        <f t="shared" si="23"/>
        <v>0</v>
      </c>
      <c r="U33" s="527"/>
      <c r="V33" s="277">
        <f>Finanz!V15</f>
        <v>0</v>
      </c>
      <c r="W33" s="277">
        <f>+Finanz!V15</f>
        <v>0</v>
      </c>
      <c r="X33" s="277">
        <f>+Finanz!W15</f>
        <v>0</v>
      </c>
      <c r="Y33" s="277">
        <f>+Finanz!X15</f>
        <v>0</v>
      </c>
      <c r="Z33" s="277">
        <f>+Finanz!Y15</f>
        <v>0</v>
      </c>
      <c r="AA33" s="277">
        <f>+Finanz!AA15</f>
        <v>0</v>
      </c>
      <c r="AB33" s="534">
        <f t="shared" si="7"/>
        <v>0</v>
      </c>
      <c r="AC33" s="277">
        <f>+Finanz!AB15</f>
        <v>0</v>
      </c>
      <c r="AD33" s="277">
        <f>+Finanz!AC15</f>
        <v>0</v>
      </c>
      <c r="AE33" s="277">
        <f>+Finanz!AD15</f>
        <v>0</v>
      </c>
      <c r="AF33" s="277">
        <f>+Finanz!AE15</f>
        <v>0</v>
      </c>
      <c r="AG33" s="277">
        <f>+Finanz!AF15</f>
        <v>2214</v>
      </c>
      <c r="AH33" s="277">
        <f>+Finanz!AG15</f>
        <v>2225.0700000000002</v>
      </c>
      <c r="AI33" s="529">
        <f t="shared" si="24"/>
        <v>4439.07</v>
      </c>
      <c r="AJ33" s="527"/>
      <c r="AK33" s="277">
        <f>+Finanz!AJ15</f>
        <v>2236.19535</v>
      </c>
      <c r="AL33" s="277">
        <f>+Finanz!AK15</f>
        <v>2247.3763267499999</v>
      </c>
      <c r="AM33" s="277">
        <f>+Finanz!AL15</f>
        <v>2258.6132083837501</v>
      </c>
      <c r="AN33" s="277">
        <f>+Finanz!AM15</f>
        <v>2269.9062744256689</v>
      </c>
      <c r="AO33" s="277">
        <f>+Finanz!AN15</f>
        <v>2281.2558057977972</v>
      </c>
      <c r="AP33" s="277">
        <f>+Finanz!AO15</f>
        <v>2292.6620848267862</v>
      </c>
      <c r="AQ33" s="277">
        <f>+Finanz!AP15</f>
        <v>2304.1253952509201</v>
      </c>
      <c r="AR33" s="277">
        <f>+Finanz!AQ15</f>
        <v>179670.79555456506</v>
      </c>
      <c r="AS33" s="277">
        <f>+Finanz!AR15</f>
        <v>0</v>
      </c>
      <c r="AT33" s="277">
        <f>+Finanz!AS15</f>
        <v>0</v>
      </c>
      <c r="AU33" s="277">
        <f>+Finanz!AT15</f>
        <v>0</v>
      </c>
      <c r="AV33" s="277">
        <f>+Finanz!AU15</f>
        <v>0</v>
      </c>
      <c r="AW33" s="530">
        <f t="shared" si="20"/>
        <v>195560.93</v>
      </c>
      <c r="AX33" s="527"/>
      <c r="AY33" s="277">
        <f>+Finanz!AX15</f>
        <v>0</v>
      </c>
      <c r="AZ33" s="277">
        <f>+Finanz!AY15</f>
        <v>0</v>
      </c>
      <c r="BA33" s="277">
        <f>+Finanz!AZ15</f>
        <v>0</v>
      </c>
      <c r="BB33" s="277">
        <f>+Finanz!BA15</f>
        <v>0</v>
      </c>
      <c r="BC33" s="277">
        <f>+Finanz!BB15</f>
        <v>0</v>
      </c>
      <c r="BD33" s="277">
        <f>+Finanz!BC15</f>
        <v>0</v>
      </c>
      <c r="BE33" s="277">
        <f>+Finanz!BD15</f>
        <v>0</v>
      </c>
      <c r="BF33" s="277">
        <f>+Finanz!BE15</f>
        <v>0</v>
      </c>
      <c r="BG33" s="277">
        <f>+Finanz!BF15</f>
        <v>0</v>
      </c>
      <c r="BH33" s="277">
        <f>+Finanz!BG15</f>
        <v>0</v>
      </c>
      <c r="BI33" s="277">
        <f>+Finanz!BH15</f>
        <v>0</v>
      </c>
      <c r="BJ33" s="277">
        <f>+Finanz!BI15</f>
        <v>0</v>
      </c>
      <c r="BK33" s="532">
        <f t="shared" si="21"/>
        <v>0</v>
      </c>
      <c r="BL33" s="527"/>
      <c r="BM33" s="277">
        <f>+Finanz!BL15</f>
        <v>0</v>
      </c>
      <c r="BN33" s="277">
        <f>+Finanz!BM15</f>
        <v>0</v>
      </c>
      <c r="BO33" s="277">
        <f>+Finanz!BN15</f>
        <v>0</v>
      </c>
      <c r="BP33" s="277">
        <f>+Finanz!BO15</f>
        <v>0</v>
      </c>
      <c r="BQ33" s="277">
        <f>+Finanz!BP15</f>
        <v>0</v>
      </c>
      <c r="BR33" s="277">
        <f>+Finanz!BQ15</f>
        <v>0</v>
      </c>
      <c r="BS33" s="277">
        <f>+Finanz!BR15</f>
        <v>0</v>
      </c>
      <c r="BT33" s="277">
        <f>+Finanz!BS15</f>
        <v>0</v>
      </c>
      <c r="BU33" s="277">
        <f>+Finanz!BT15</f>
        <v>0</v>
      </c>
      <c r="BV33" s="277">
        <f>+Finanz!BU15</f>
        <v>0</v>
      </c>
      <c r="BW33" s="277">
        <f>+Finanz!BV15</f>
        <v>0</v>
      </c>
      <c r="BX33" s="277">
        <f>+Finanz!BW15</f>
        <v>0</v>
      </c>
      <c r="BY33" s="533">
        <f t="shared" si="22"/>
        <v>0</v>
      </c>
      <c r="BZ33" s="33"/>
      <c r="CA33" s="33"/>
      <c r="CB33" s="33"/>
      <c r="CC33" s="33"/>
      <c r="CD33" s="33"/>
    </row>
    <row r="34" spans="1:82" ht="14.5" x14ac:dyDescent="0.4">
      <c r="A34" s="591"/>
      <c r="B34" s="30" t="s">
        <v>586</v>
      </c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526">
        <f t="shared" si="23"/>
        <v>0</v>
      </c>
      <c r="U34" s="527"/>
      <c r="V34" s="277"/>
      <c r="W34" s="525">
        <f>Finanz!W18</f>
        <v>0</v>
      </c>
      <c r="X34" s="525">
        <f>Finanz!X18</f>
        <v>2000</v>
      </c>
      <c r="Y34" s="277"/>
      <c r="Z34" s="277"/>
      <c r="AA34" s="277"/>
      <c r="AB34" s="534">
        <f t="shared" si="7"/>
        <v>2000</v>
      </c>
      <c r="AC34" s="277"/>
      <c r="AD34" s="277"/>
      <c r="AE34" s="277"/>
      <c r="AF34" s="277"/>
      <c r="AG34" s="277"/>
      <c r="AH34" s="277"/>
      <c r="AI34" s="529">
        <f t="shared" si="24"/>
        <v>2000</v>
      </c>
      <c r="AJ34" s="527"/>
      <c r="AK34" s="277"/>
      <c r="AL34" s="277"/>
      <c r="AM34" s="277"/>
      <c r="AN34" s="277"/>
      <c r="AO34" s="277"/>
      <c r="AP34" s="277"/>
      <c r="AQ34" s="277"/>
      <c r="AR34" s="277"/>
      <c r="AS34" s="277"/>
      <c r="AT34" s="277"/>
      <c r="AU34" s="277"/>
      <c r="AV34" s="277"/>
      <c r="AW34" s="530">
        <f t="shared" si="20"/>
        <v>0</v>
      </c>
      <c r="AX34" s="527"/>
      <c r="AY34" s="277"/>
      <c r="AZ34" s="277"/>
      <c r="BA34" s="277"/>
      <c r="BB34" s="277"/>
      <c r="BC34" s="277"/>
      <c r="BD34" s="277"/>
      <c r="BE34" s="277"/>
      <c r="BF34" s="277"/>
      <c r="BG34" s="277"/>
      <c r="BH34" s="277"/>
      <c r="BI34" s="277"/>
      <c r="BJ34" s="277"/>
      <c r="BK34" s="532">
        <f t="shared" si="21"/>
        <v>0</v>
      </c>
      <c r="BL34" s="527"/>
      <c r="BM34" s="277"/>
      <c r="BN34" s="277"/>
      <c r="BO34" s="277"/>
      <c r="BP34" s="277"/>
      <c r="BQ34" s="277"/>
      <c r="BR34" s="277"/>
      <c r="BS34" s="277"/>
      <c r="BT34" s="277"/>
      <c r="BU34" s="277"/>
      <c r="BV34" s="277"/>
      <c r="BW34" s="277"/>
      <c r="BX34" s="277"/>
      <c r="BY34" s="533">
        <f t="shared" si="22"/>
        <v>0</v>
      </c>
      <c r="BZ34" s="33"/>
      <c r="CA34" s="33"/>
      <c r="CB34" s="33"/>
      <c r="CC34" s="33"/>
      <c r="CD34" s="33"/>
    </row>
    <row r="35" spans="1:82" ht="14.5" x14ac:dyDescent="0.4">
      <c r="A35" s="591"/>
      <c r="B35" s="30" t="s">
        <v>587</v>
      </c>
      <c r="H35" s="277"/>
      <c r="I35" s="277"/>
      <c r="J35" s="277"/>
      <c r="K35" s="277">
        <f t="shared" ref="K35:S35" si="31">+I46</f>
        <v>0</v>
      </c>
      <c r="L35" s="277">
        <f t="shared" si="31"/>
        <v>0</v>
      </c>
      <c r="M35" s="277">
        <f t="shared" si="31"/>
        <v>0</v>
      </c>
      <c r="N35" s="277">
        <f t="shared" si="31"/>
        <v>0</v>
      </c>
      <c r="O35" s="277">
        <f t="shared" si="31"/>
        <v>-4297.7922077922076</v>
      </c>
      <c r="P35" s="277">
        <f t="shared" si="31"/>
        <v>-10.8</v>
      </c>
      <c r="Q35" s="277">
        <f t="shared" si="31"/>
        <v>-432.6</v>
      </c>
      <c r="R35" s="277">
        <f t="shared" si="31"/>
        <v>-685.11000000000013</v>
      </c>
      <c r="S35" s="277">
        <f t="shared" si="31"/>
        <v>-429</v>
      </c>
      <c r="T35" s="527">
        <f t="shared" si="23"/>
        <v>-5855.3022077922087</v>
      </c>
      <c r="U35" s="527"/>
      <c r="V35" s="277">
        <f>+R46</f>
        <v>-4611.6400000000003</v>
      </c>
      <c r="W35" s="277">
        <f>+S46</f>
        <v>-12716.782920000001</v>
      </c>
      <c r="X35" s="277">
        <f>+V46</f>
        <v>-1688.0977783549761</v>
      </c>
      <c r="Y35" s="277">
        <f>+W46</f>
        <v>-1313.6977783549762</v>
      </c>
      <c r="Z35" s="277">
        <v>0</v>
      </c>
      <c r="AA35" s="277">
        <v>0</v>
      </c>
      <c r="AB35" s="534">
        <f t="shared" si="7"/>
        <v>-20330.218476709953</v>
      </c>
      <c r="AC35" s="277">
        <f>X46</f>
        <v>-4071.1657783549763</v>
      </c>
      <c r="AD35" s="277">
        <f>Y46</f>
        <v>-4137.0737783549766</v>
      </c>
      <c r="AE35" s="277">
        <f>Z46</f>
        <v>-8241.1645783549793</v>
      </c>
      <c r="AF35" s="277">
        <f>AA46</f>
        <v>-64140.787898874463</v>
      </c>
      <c r="AG35" s="277">
        <f>AC46</f>
        <v>-48473.395232207797</v>
      </c>
      <c r="AH35" s="277">
        <f>AD46+AE46+AF46+AG46</f>
        <v>-114544.85616759588</v>
      </c>
      <c r="AI35" s="529">
        <f t="shared" si="24"/>
        <v>-263938.661910453</v>
      </c>
      <c r="AJ35" s="527"/>
      <c r="AK35" s="277">
        <f>AH46</f>
        <v>-4539.964928786756</v>
      </c>
      <c r="AL35" s="277">
        <f t="shared" ref="AL35:AV35" si="32">+AK46</f>
        <v>-7867.2182788531391</v>
      </c>
      <c r="AM35" s="277">
        <f t="shared" si="32"/>
        <v>-17353.042056895727</v>
      </c>
      <c r="AN35" s="277">
        <f t="shared" si="32"/>
        <v>-600.78623744297693</v>
      </c>
      <c r="AO35" s="277">
        <f t="shared" si="32"/>
        <v>164.4106232288741</v>
      </c>
      <c r="AP35" s="277">
        <f t="shared" si="32"/>
        <v>-1103.4010739883088</v>
      </c>
      <c r="AQ35" s="277">
        <f t="shared" si="32"/>
        <v>-181.47397721607376</v>
      </c>
      <c r="AR35" s="277">
        <f t="shared" si="32"/>
        <v>-172.94452045199432</v>
      </c>
      <c r="AS35" s="277">
        <f t="shared" si="32"/>
        <v>266.71578125500855</v>
      </c>
      <c r="AT35" s="277">
        <f t="shared" si="32"/>
        <v>-7.0112154276794172</v>
      </c>
      <c r="AU35" s="277">
        <f t="shared" si="32"/>
        <v>307.47311762587196</v>
      </c>
      <c r="AV35" s="277">
        <f t="shared" si="32"/>
        <v>2131.7899400134556</v>
      </c>
      <c r="AW35" s="530">
        <f t="shared" si="20"/>
        <v>-28955.452826939443</v>
      </c>
      <c r="AX35" s="527"/>
      <c r="AY35" s="277">
        <f>AV46</f>
        <v>283.68575572664486</v>
      </c>
      <c r="AZ35" s="277">
        <f t="shared" ref="AZ35:BJ35" si="33">+AY46</f>
        <v>558.88408266596161</v>
      </c>
      <c r="BA35" s="277">
        <f t="shared" si="33"/>
        <v>1077.3347044802467</v>
      </c>
      <c r="BB35" s="277">
        <f t="shared" si="33"/>
        <v>1025.0258188621701</v>
      </c>
      <c r="BC35" s="277">
        <f t="shared" si="33"/>
        <v>1362.1355717700426</v>
      </c>
      <c r="BD35" s="277">
        <f t="shared" si="33"/>
        <v>316.3428994224123</v>
      </c>
      <c r="BE35" s="277">
        <f t="shared" si="33"/>
        <v>869.33691107987397</v>
      </c>
      <c r="BF35" s="277">
        <f t="shared" si="33"/>
        <v>827.81505687787649</v>
      </c>
      <c r="BG35" s="277">
        <f t="shared" si="33"/>
        <v>853.11148660091567</v>
      </c>
      <c r="BH35" s="277">
        <f t="shared" si="33"/>
        <v>1127.3452512518452</v>
      </c>
      <c r="BI35" s="277">
        <f t="shared" si="33"/>
        <v>1364.3759968922495</v>
      </c>
      <c r="BJ35" s="277">
        <f t="shared" si="33"/>
        <v>3903.2462870473209</v>
      </c>
      <c r="BK35" s="532">
        <f t="shared" si="21"/>
        <v>13568.63982267756</v>
      </c>
      <c r="BL35" s="527"/>
      <c r="BM35" s="277">
        <f>BJ46</f>
        <v>1205.7249411633202</v>
      </c>
      <c r="BN35" s="277">
        <f t="shared" ref="BN35:BX35" si="34">BM46</f>
        <v>1465.7544492633206</v>
      </c>
      <c r="BO35" s="277">
        <f t="shared" si="34"/>
        <v>1979.5646258000961</v>
      </c>
      <c r="BP35" s="277">
        <f t="shared" si="34"/>
        <v>2004.6861651853251</v>
      </c>
      <c r="BQ35" s="277">
        <f t="shared" si="34"/>
        <v>2297.2026801957982</v>
      </c>
      <c r="BR35" s="277">
        <f t="shared" si="34"/>
        <v>1207.6534569290816</v>
      </c>
      <c r="BS35" s="277">
        <f t="shared" si="34"/>
        <v>1631.750853035519</v>
      </c>
      <c r="BT35" s="277">
        <f t="shared" si="34"/>
        <v>1521.265276433187</v>
      </c>
      <c r="BU35" s="277">
        <f t="shared" si="34"/>
        <v>2510.9625321862623</v>
      </c>
      <c r="BV35" s="277">
        <f t="shared" si="34"/>
        <v>1854.5490044928265</v>
      </c>
      <c r="BW35" s="277">
        <f t="shared" si="34"/>
        <v>2045.9391176117824</v>
      </c>
      <c r="BX35" s="277">
        <f t="shared" si="34"/>
        <v>4947.5112869348086</v>
      </c>
      <c r="BY35" s="533">
        <f t="shared" si="22"/>
        <v>24672.564389231327</v>
      </c>
      <c r="BZ35" s="33"/>
      <c r="CA35" s="33"/>
      <c r="CB35" s="33"/>
      <c r="CC35" s="33"/>
      <c r="CD35" s="33"/>
    </row>
    <row r="36" spans="1:82" ht="14.5" x14ac:dyDescent="0.4">
      <c r="A36" s="591"/>
      <c r="B36" s="30" t="s">
        <v>588</v>
      </c>
      <c r="H36" s="277"/>
      <c r="I36" s="277"/>
      <c r="J36" s="277"/>
      <c r="K36" s="277"/>
      <c r="L36" s="277"/>
      <c r="M36" s="277"/>
      <c r="N36" s="277"/>
      <c r="O36" s="277"/>
      <c r="P36" s="277"/>
      <c r="Q36" s="277"/>
      <c r="R36" s="277"/>
      <c r="S36" s="277"/>
      <c r="T36" s="526"/>
      <c r="U36" s="527"/>
      <c r="V36" s="277"/>
      <c r="W36" s="277"/>
      <c r="X36" s="277"/>
      <c r="Y36" s="277"/>
      <c r="Z36" s="277"/>
      <c r="AA36" s="277"/>
      <c r="AB36" s="534">
        <f t="shared" si="7"/>
        <v>0</v>
      </c>
      <c r="AC36" s="277"/>
      <c r="AD36" s="277"/>
      <c r="AE36" s="277"/>
      <c r="AF36" s="277"/>
      <c r="AG36" s="277"/>
      <c r="AH36" s="277"/>
      <c r="AI36" s="529"/>
      <c r="AJ36" s="527"/>
      <c r="AK36" s="277"/>
      <c r="AL36" s="277"/>
      <c r="AM36" s="277"/>
      <c r="AN36" s="277"/>
      <c r="AO36" s="277"/>
      <c r="AP36" s="277"/>
      <c r="AQ36" s="277"/>
      <c r="AR36" s="277"/>
      <c r="AS36" s="277"/>
      <c r="AT36" s="277"/>
      <c r="AU36" s="277"/>
      <c r="AV36" s="277"/>
      <c r="AW36" s="530"/>
      <c r="AX36" s="527"/>
      <c r="AY36" s="277"/>
      <c r="AZ36" s="277"/>
      <c r="BA36" s="277"/>
      <c r="BB36" s="277"/>
      <c r="BC36" s="277"/>
      <c r="BD36" s="277"/>
      <c r="BE36" s="277"/>
      <c r="BF36" s="277"/>
      <c r="BG36" s="277"/>
      <c r="BH36" s="277"/>
      <c r="BI36" s="277"/>
      <c r="BJ36" s="277"/>
      <c r="BK36" s="532"/>
      <c r="BL36" s="527"/>
      <c r="BM36" s="277"/>
      <c r="BN36" s="277"/>
      <c r="BO36" s="277"/>
      <c r="BP36" s="277"/>
      <c r="BQ36" s="277"/>
      <c r="BR36" s="277"/>
      <c r="BS36" s="277"/>
      <c r="BT36" s="277"/>
      <c r="BU36" s="277"/>
      <c r="BV36" s="277"/>
      <c r="BW36" s="277"/>
      <c r="BX36" s="277"/>
      <c r="BY36" s="533"/>
      <c r="BZ36" s="33"/>
      <c r="CA36" s="33"/>
      <c r="CB36" s="33"/>
      <c r="CC36" s="33"/>
      <c r="CD36" s="33"/>
    </row>
    <row r="37" spans="1:82" ht="14.5" x14ac:dyDescent="0.4">
      <c r="A37" s="591"/>
      <c r="B37" s="493" t="s">
        <v>589</v>
      </c>
      <c r="C37" s="493"/>
      <c r="D37" s="493"/>
      <c r="E37" s="493"/>
      <c r="F37" s="493"/>
      <c r="G37" s="493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564">
        <f>SUM(H37:S37)</f>
        <v>0</v>
      </c>
      <c r="U37" s="565"/>
      <c r="V37" s="304"/>
      <c r="W37" s="304"/>
      <c r="X37" s="304"/>
      <c r="Y37" s="304"/>
      <c r="Z37" s="592"/>
      <c r="AA37" s="592">
        <f>-0.2*Investitionen!AA44</f>
        <v>0</v>
      </c>
      <c r="AB37" s="534">
        <f t="shared" si="7"/>
        <v>0</v>
      </c>
      <c r="AC37" s="304"/>
      <c r="AD37" s="304"/>
      <c r="AE37" s="304"/>
      <c r="AF37" s="304">
        <f>AA37*-1</f>
        <v>0</v>
      </c>
      <c r="AG37" s="304"/>
      <c r="AH37" s="304"/>
      <c r="AI37" s="529">
        <f>SUM(V37:AH37)-AB37</f>
        <v>0</v>
      </c>
      <c r="AJ37" s="565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567">
        <f>SUM(AK37:AV37)</f>
        <v>0</v>
      </c>
      <c r="AX37" s="565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568">
        <f>SUM(AY37:BJ37)</f>
        <v>0</v>
      </c>
      <c r="BL37" s="565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593">
        <f>SUM(BM37:BX37)</f>
        <v>0</v>
      </c>
      <c r="BZ37" s="33"/>
      <c r="CA37" s="33"/>
      <c r="CB37" s="33"/>
      <c r="CC37" s="33"/>
      <c r="CD37" s="33"/>
    </row>
    <row r="38" spans="1:82" ht="14.5" x14ac:dyDescent="0.4">
      <c r="A38" s="591"/>
      <c r="B38" s="313" t="s">
        <v>590</v>
      </c>
      <c r="C38" s="313"/>
      <c r="D38" s="313"/>
      <c r="E38" s="313"/>
      <c r="F38" s="313"/>
      <c r="G38" s="313"/>
      <c r="H38" s="316">
        <f t="shared" ref="H38:S38" si="35">SUM(H22:H37)</f>
        <v>16671.470416666667</v>
      </c>
      <c r="I38" s="316">
        <f t="shared" si="35"/>
        <v>3381.1170833333331</v>
      </c>
      <c r="J38" s="316">
        <f t="shared" si="35"/>
        <v>898.72708333333333</v>
      </c>
      <c r="K38" s="316">
        <f t="shared" si="35"/>
        <v>3610.1270833333333</v>
      </c>
      <c r="L38" s="316">
        <f t="shared" si="35"/>
        <v>9715.8670833333326</v>
      </c>
      <c r="M38" s="316">
        <f t="shared" si="35"/>
        <v>32106.206996753248</v>
      </c>
      <c r="N38" s="316">
        <f t="shared" si="35"/>
        <v>8647.8970833333333</v>
      </c>
      <c r="O38" s="316">
        <f t="shared" si="35"/>
        <v>10986.261542207791</v>
      </c>
      <c r="P38" s="316">
        <f t="shared" si="35"/>
        <v>14780.365416666667</v>
      </c>
      <c r="Q38" s="316">
        <f t="shared" si="35"/>
        <v>19767.692083333335</v>
      </c>
      <c r="R38" s="316">
        <f t="shared" si="35"/>
        <v>37721.86041666667</v>
      </c>
      <c r="S38" s="316">
        <f t="shared" si="35"/>
        <v>48015.392936666663</v>
      </c>
      <c r="T38" s="316">
        <f>SUM(H38:S38)</f>
        <v>206302.98522562772</v>
      </c>
      <c r="U38" s="316"/>
      <c r="V38" s="316">
        <f t="shared" ref="V38:AA38" si="36">SUM(V22:V37)</f>
        <v>58048.129146320323</v>
      </c>
      <c r="W38" s="316">
        <f t="shared" si="36"/>
        <v>4488.7918929869666</v>
      </c>
      <c r="X38" s="316">
        <f t="shared" si="36"/>
        <v>36190.41003463199</v>
      </c>
      <c r="Y38" s="316">
        <f t="shared" si="36"/>
        <v>32970.674701298667</v>
      </c>
      <c r="Z38" s="316">
        <f t="shared" si="36"/>
        <v>63604.336422510816</v>
      </c>
      <c r="AA38" s="316">
        <f t="shared" si="36"/>
        <v>398625.04337419913</v>
      </c>
      <c r="AB38" s="534">
        <f t="shared" si="7"/>
        <v>593927.3855719479</v>
      </c>
      <c r="AC38" s="316">
        <f t="shared" ref="AC38:AH38" si="37">SUM(AC22:AC37)</f>
        <v>298408.14079584414</v>
      </c>
      <c r="AD38" s="316">
        <f t="shared" si="37"/>
        <v>174632.64324744584</v>
      </c>
      <c r="AE38" s="316">
        <f t="shared" si="37"/>
        <v>364087.70051360689</v>
      </c>
      <c r="AF38" s="316">
        <f t="shared" si="37"/>
        <v>153942.01215843536</v>
      </c>
      <c r="AG38" s="316">
        <f t="shared" si="37"/>
        <v>289921.03418059513</v>
      </c>
      <c r="AH38" s="316">
        <f t="shared" si="37"/>
        <v>34815.639062731861</v>
      </c>
      <c r="AI38" s="529">
        <f>SUM(V38:AH38)-AB38</f>
        <v>1909734.5555306072</v>
      </c>
      <c r="AJ38" s="316"/>
      <c r="AK38" s="316">
        <f t="shared" ref="AK38:AV38" si="38">SUM(AK22:AK37)</f>
        <v>170799.10853042747</v>
      </c>
      <c r="AL38" s="316">
        <f t="shared" si="38"/>
        <v>236305.21481256367</v>
      </c>
      <c r="AM38" s="316">
        <f t="shared" si="38"/>
        <v>134799.63019520571</v>
      </c>
      <c r="AN38" s="316">
        <f t="shared" si="38"/>
        <v>155261.91160972489</v>
      </c>
      <c r="AO38" s="316">
        <f t="shared" si="38"/>
        <v>178188.68400079405</v>
      </c>
      <c r="AP38" s="316">
        <f t="shared" si="38"/>
        <v>158165.98178674362</v>
      </c>
      <c r="AQ38" s="316">
        <f t="shared" si="38"/>
        <v>156044.66397028201</v>
      </c>
      <c r="AR38" s="316">
        <f t="shared" si="38"/>
        <v>336694.42179723567</v>
      </c>
      <c r="AS38" s="316">
        <f t="shared" si="38"/>
        <v>170867.50207798765</v>
      </c>
      <c r="AT38" s="316">
        <f t="shared" si="38"/>
        <v>195263.43292411149</v>
      </c>
      <c r="AU38" s="316">
        <f t="shared" si="38"/>
        <v>203659.13734560102</v>
      </c>
      <c r="AV38" s="316">
        <f t="shared" si="38"/>
        <v>185315.27995495533</v>
      </c>
      <c r="AW38" s="594">
        <f>SUM(AK38:AV38)</f>
        <v>2281364.9690056327</v>
      </c>
      <c r="AX38" s="277"/>
      <c r="AY38" s="316">
        <f t="shared" ref="AY38:BJ38" si="39">SUM(AY22:AY37)</f>
        <v>188851.91078093665</v>
      </c>
      <c r="AZ38" s="316">
        <f t="shared" si="39"/>
        <v>193494.62759501117</v>
      </c>
      <c r="BA38" s="316">
        <f t="shared" si="39"/>
        <v>202544.88798870693</v>
      </c>
      <c r="BB38" s="316">
        <f t="shared" si="39"/>
        <v>201881.50644119468</v>
      </c>
      <c r="BC38" s="316">
        <f t="shared" si="39"/>
        <v>223009.12746905244</v>
      </c>
      <c r="BD38" s="316">
        <f t="shared" si="39"/>
        <v>200457.26107295236</v>
      </c>
      <c r="BE38" s="316">
        <f t="shared" si="39"/>
        <v>197364.33641690097</v>
      </c>
      <c r="BF38" s="316">
        <f t="shared" si="39"/>
        <v>214487.71731505706</v>
      </c>
      <c r="BG38" s="316">
        <f t="shared" si="39"/>
        <v>217318.57003606562</v>
      </c>
      <c r="BH38" s="316">
        <f t="shared" si="39"/>
        <v>244726.17545097426</v>
      </c>
      <c r="BI38" s="316">
        <f t="shared" si="39"/>
        <v>252746.36567626588</v>
      </c>
      <c r="BJ38" s="316">
        <f t="shared" si="39"/>
        <v>229015.48923324299</v>
      </c>
      <c r="BK38" s="277">
        <f>SUM(AY38:BJ38)</f>
        <v>2565897.9754763604</v>
      </c>
      <c r="BL38" s="277"/>
      <c r="BM38" s="316">
        <f t="shared" ref="BM38:BX38" si="40">SUM(BM22:BM37)</f>
        <v>229750.96854648544</v>
      </c>
      <c r="BN38" s="316">
        <f t="shared" si="40"/>
        <v>233575.69138324904</v>
      </c>
      <c r="BO38" s="316">
        <f t="shared" si="40"/>
        <v>242061.04490537883</v>
      </c>
      <c r="BP38" s="316">
        <f t="shared" si="40"/>
        <v>239958.7454996804</v>
      </c>
      <c r="BQ38" s="316">
        <f t="shared" si="40"/>
        <v>265000.89896186907</v>
      </c>
      <c r="BR38" s="316">
        <f t="shared" si="40"/>
        <v>227570.42749663658</v>
      </c>
      <c r="BS38" s="316">
        <f t="shared" si="40"/>
        <v>229197.02779476147</v>
      </c>
      <c r="BT38" s="316">
        <f t="shared" si="40"/>
        <v>241964.31510279403</v>
      </c>
      <c r="BU38" s="316">
        <f t="shared" si="40"/>
        <v>250254.82756543646</v>
      </c>
      <c r="BV38" s="316">
        <f t="shared" si="40"/>
        <v>283281.97378547193</v>
      </c>
      <c r="BW38" s="316">
        <f t="shared" si="40"/>
        <v>280651.23741080967</v>
      </c>
      <c r="BX38" s="316">
        <f t="shared" si="40"/>
        <v>257180.81215028939</v>
      </c>
      <c r="BY38" s="277">
        <f>SUM(BM38:BX38)</f>
        <v>2980447.9706028625</v>
      </c>
      <c r="BZ38" s="33"/>
    </row>
    <row r="39" spans="1:82" ht="14.5" x14ac:dyDescent="0.4">
      <c r="A39" s="591"/>
      <c r="H39" s="277"/>
      <c r="I39" s="277"/>
      <c r="J39" s="277"/>
      <c r="K39" s="277"/>
      <c r="L39" s="277"/>
      <c r="M39" s="277"/>
      <c r="N39" s="277"/>
      <c r="O39" s="277"/>
      <c r="P39" s="277"/>
      <c r="Q39" s="277"/>
      <c r="R39" s="277"/>
      <c r="S39" s="277"/>
      <c r="T39" s="576">
        <f>SUM(T22:T37)-T38</f>
        <v>-20913.199999999983</v>
      </c>
      <c r="U39" s="577"/>
      <c r="V39" s="277"/>
      <c r="W39" s="277"/>
      <c r="X39" s="277"/>
      <c r="Y39" s="277"/>
      <c r="Z39" s="277"/>
      <c r="AA39" s="277"/>
      <c r="AB39" s="277"/>
      <c r="AC39" s="277"/>
      <c r="AD39" s="277"/>
      <c r="AE39" s="277"/>
      <c r="AF39" s="277"/>
      <c r="AG39" s="277"/>
      <c r="AH39" s="277"/>
      <c r="AI39" s="577">
        <f>SUM(AI22:AI37)-AI38</f>
        <v>-1172244.7259523808</v>
      </c>
      <c r="AJ39" s="577"/>
      <c r="AK39" s="277"/>
      <c r="AL39" s="277"/>
      <c r="AM39" s="277"/>
      <c r="AN39" s="277"/>
      <c r="AO39" s="277"/>
      <c r="AP39" s="277"/>
      <c r="AQ39" s="277"/>
      <c r="AR39" s="277"/>
      <c r="AS39" s="277"/>
      <c r="AT39" s="277"/>
      <c r="AU39" s="277"/>
      <c r="AV39" s="277"/>
      <c r="AW39" s="595">
        <f>SUM(AW22:AW37)-AW38</f>
        <v>0</v>
      </c>
      <c r="AX39" s="595"/>
      <c r="AY39" s="277"/>
      <c r="AZ39" s="277"/>
      <c r="BA39" s="277"/>
      <c r="BB39" s="277"/>
      <c r="BC39" s="277"/>
      <c r="BD39" s="277"/>
      <c r="BE39" s="277"/>
      <c r="BF39" s="277"/>
      <c r="BG39" s="277"/>
      <c r="BH39" s="277"/>
      <c r="BI39" s="277"/>
      <c r="BJ39" s="277"/>
      <c r="BK39" s="595">
        <f>SUM(BK22:BK37)-BK38</f>
        <v>0</v>
      </c>
      <c r="BL39" s="595"/>
      <c r="BM39" s="277"/>
      <c r="BN39" s="277"/>
      <c r="BO39" s="277"/>
      <c r="BP39" s="277"/>
      <c r="BQ39" s="277"/>
      <c r="BR39" s="277"/>
      <c r="BS39" s="277"/>
      <c r="BT39" s="277"/>
      <c r="BU39" s="277"/>
      <c r="BV39" s="277"/>
      <c r="BW39" s="277"/>
      <c r="BX39" s="277"/>
      <c r="BY39" s="596">
        <f>SUM(BY22:BY37)-BY38</f>
        <v>-82254.08741922304</v>
      </c>
      <c r="BZ39" s="33"/>
      <c r="CA39" s="33"/>
      <c r="CB39" s="33"/>
      <c r="CC39" s="33"/>
      <c r="CD39" s="33"/>
    </row>
    <row r="40" spans="1:82" ht="14.5" x14ac:dyDescent="0.4">
      <c r="A40" s="591"/>
      <c r="B40" s="251"/>
      <c r="C40" s="251"/>
      <c r="D40" s="251"/>
      <c r="E40" s="251"/>
      <c r="F40" s="251"/>
      <c r="G40" s="251"/>
      <c r="H40" s="277"/>
      <c r="I40" s="277"/>
      <c r="J40" s="277"/>
      <c r="K40" s="277"/>
      <c r="L40" s="277"/>
      <c r="M40" s="277"/>
      <c r="N40" s="277"/>
      <c r="O40" s="277"/>
      <c r="P40" s="277"/>
      <c r="Q40" s="277"/>
      <c r="R40" s="277"/>
      <c r="S40" s="277"/>
      <c r="T40" s="526"/>
      <c r="U40" s="527"/>
      <c r="V40" s="277"/>
      <c r="W40" s="277"/>
      <c r="X40" s="277"/>
      <c r="Y40" s="277"/>
      <c r="Z40" s="277"/>
      <c r="AA40" s="277"/>
      <c r="AB40" s="277"/>
      <c r="AC40" s="277"/>
      <c r="AD40" s="277"/>
      <c r="AE40" s="277"/>
      <c r="AF40" s="277"/>
      <c r="AG40" s="277"/>
      <c r="AH40" s="277"/>
      <c r="AI40" s="527"/>
      <c r="AJ40" s="527"/>
      <c r="AK40" s="277"/>
      <c r="AL40" s="277"/>
      <c r="AM40" s="277"/>
      <c r="AN40" s="277"/>
      <c r="AO40" s="277"/>
      <c r="AP40" s="277"/>
      <c r="AQ40" s="277"/>
      <c r="AR40" s="277"/>
      <c r="AS40" s="277"/>
      <c r="AT40" s="277"/>
      <c r="AU40" s="277"/>
      <c r="AV40" s="277"/>
      <c r="AW40" s="527"/>
      <c r="AX40" s="527"/>
      <c r="AY40" s="277"/>
      <c r="AZ40" s="277"/>
      <c r="BA40" s="277"/>
      <c r="BB40" s="277"/>
      <c r="BC40" s="277"/>
      <c r="BD40" s="277"/>
      <c r="BE40" s="277"/>
      <c r="BF40" s="277"/>
      <c r="BG40" s="277"/>
      <c r="BH40" s="277"/>
      <c r="BI40" s="277"/>
      <c r="BJ40" s="277"/>
      <c r="BK40" s="527"/>
      <c r="BL40" s="527"/>
      <c r="BM40" s="277"/>
      <c r="BN40" s="277"/>
      <c r="BO40" s="277"/>
      <c r="BP40" s="277"/>
      <c r="BQ40" s="277"/>
      <c r="BR40" s="277"/>
      <c r="BS40" s="277"/>
      <c r="BT40" s="277"/>
      <c r="BU40" s="277"/>
      <c r="BV40" s="277"/>
      <c r="BW40" s="277"/>
      <c r="BX40" s="277"/>
      <c r="BY40" s="527"/>
      <c r="BZ40" s="33"/>
      <c r="CA40" s="33"/>
      <c r="CB40" s="33"/>
      <c r="CC40" s="33"/>
      <c r="CD40" s="33"/>
    </row>
    <row r="41" spans="1:82" ht="14.5" x14ac:dyDescent="0.4">
      <c r="A41" s="597"/>
      <c r="B41" s="299" t="s">
        <v>591</v>
      </c>
      <c r="C41" s="598"/>
      <c r="D41" s="598"/>
      <c r="E41" s="598"/>
      <c r="F41" s="598"/>
      <c r="G41" s="598"/>
      <c r="H41" s="296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518"/>
      <c r="U41" s="519"/>
      <c r="V41" s="296"/>
      <c r="W41" s="296"/>
      <c r="X41" s="296"/>
      <c r="Y41" s="296"/>
      <c r="Z41" s="296"/>
      <c r="AA41" s="296"/>
      <c r="AB41" s="520"/>
      <c r="AC41" s="296"/>
      <c r="AD41" s="296"/>
      <c r="AE41" s="296"/>
      <c r="AF41" s="296"/>
      <c r="AG41" s="296"/>
      <c r="AH41" s="296"/>
      <c r="AI41" s="521"/>
      <c r="AJ41" s="519"/>
      <c r="AK41" s="296"/>
      <c r="AL41" s="296"/>
      <c r="AM41" s="296"/>
      <c r="AN41" s="296"/>
      <c r="AO41" s="296"/>
      <c r="AP41" s="296"/>
      <c r="AQ41" s="296"/>
      <c r="AR41" s="296"/>
      <c r="AS41" s="296"/>
      <c r="AT41" s="296"/>
      <c r="AU41" s="296"/>
      <c r="AV41" s="296"/>
      <c r="AW41" s="522"/>
      <c r="AX41" s="519"/>
      <c r="AY41" s="296"/>
      <c r="AZ41" s="296"/>
      <c r="BA41" s="296"/>
      <c r="BB41" s="296"/>
      <c r="BC41" s="296"/>
      <c r="BD41" s="296"/>
      <c r="BE41" s="296"/>
      <c r="BF41" s="296"/>
      <c r="BG41" s="296"/>
      <c r="BH41" s="296"/>
      <c r="BI41" s="296"/>
      <c r="BJ41" s="296"/>
      <c r="BK41" s="523"/>
      <c r="BL41" s="519"/>
      <c r="BM41" s="296"/>
      <c r="BN41" s="296"/>
      <c r="BO41" s="296"/>
      <c r="BP41" s="296"/>
      <c r="BQ41" s="296"/>
      <c r="BR41" s="296"/>
      <c r="BS41" s="296"/>
      <c r="BT41" s="296"/>
      <c r="BU41" s="296"/>
      <c r="BV41" s="296"/>
      <c r="BW41" s="296"/>
      <c r="BX41" s="296"/>
      <c r="BY41" s="524"/>
      <c r="BZ41" s="278"/>
      <c r="CA41" s="278"/>
      <c r="CB41" s="278"/>
      <c r="CC41" s="278"/>
      <c r="CD41" s="278"/>
    </row>
    <row r="42" spans="1:82" s="263" customFormat="1" ht="14.5" x14ac:dyDescent="0.4">
      <c r="A42" s="545"/>
      <c r="B42" s="599" t="s">
        <v>592</v>
      </c>
      <c r="C42" s="600">
        <v>0.114</v>
      </c>
      <c r="D42" s="601"/>
      <c r="E42" s="601"/>
      <c r="F42" s="601"/>
      <c r="G42" s="601"/>
      <c r="H42" s="602">
        <f t="shared" ref="H42:S42" si="41">H22*$C42</f>
        <v>0</v>
      </c>
      <c r="I42" s="602">
        <f t="shared" si="41"/>
        <v>0</v>
      </c>
      <c r="J42" s="602">
        <f t="shared" si="41"/>
        <v>0</v>
      </c>
      <c r="K42" s="602">
        <f t="shared" si="41"/>
        <v>0</v>
      </c>
      <c r="L42" s="602">
        <f t="shared" si="41"/>
        <v>0</v>
      </c>
      <c r="M42" s="602">
        <f t="shared" si="41"/>
        <v>0</v>
      </c>
      <c r="N42" s="602">
        <f t="shared" si="41"/>
        <v>0</v>
      </c>
      <c r="O42" s="602">
        <f t="shared" si="41"/>
        <v>0</v>
      </c>
      <c r="P42" s="602">
        <f t="shared" si="41"/>
        <v>0</v>
      </c>
      <c r="Q42" s="602">
        <f t="shared" si="41"/>
        <v>0</v>
      </c>
      <c r="R42" s="602">
        <f t="shared" si="41"/>
        <v>0</v>
      </c>
      <c r="S42" s="602">
        <f t="shared" si="41"/>
        <v>0</v>
      </c>
      <c r="T42" s="603">
        <f>SUM(H42:S42)</f>
        <v>0</v>
      </c>
      <c r="U42" s="585"/>
      <c r="V42" s="602">
        <f t="shared" ref="V42:AA42" si="42">V22*$C42</f>
        <v>0</v>
      </c>
      <c r="W42" s="602">
        <f t="shared" si="42"/>
        <v>0</v>
      </c>
      <c r="X42" s="602">
        <f t="shared" si="42"/>
        <v>0</v>
      </c>
      <c r="Y42" s="602">
        <f t="shared" si="42"/>
        <v>0</v>
      </c>
      <c r="Z42" s="602">
        <f t="shared" si="42"/>
        <v>0</v>
      </c>
      <c r="AA42" s="602">
        <f t="shared" si="42"/>
        <v>0</v>
      </c>
      <c r="AB42" s="556">
        <f>SUM(V42:AA42)</f>
        <v>0</v>
      </c>
      <c r="AC42" s="602">
        <f t="shared" ref="AC42:AH42" si="43">AC22*$C42</f>
        <v>0</v>
      </c>
      <c r="AD42" s="602">
        <f t="shared" si="43"/>
        <v>0</v>
      </c>
      <c r="AE42" s="602">
        <f t="shared" si="43"/>
        <v>19626.853228799999</v>
      </c>
      <c r="AF42" s="602">
        <f t="shared" si="43"/>
        <v>8677.2001757538455</v>
      </c>
      <c r="AG42" s="602">
        <f t="shared" si="43"/>
        <v>9933.9890156307683</v>
      </c>
      <c r="AH42" s="602">
        <f t="shared" si="43"/>
        <v>9138.4533570187923</v>
      </c>
      <c r="AI42" s="557">
        <f>SUM(V24:AH24)-AB24</f>
        <v>148205.05928571409</v>
      </c>
      <c r="AJ42" s="585"/>
      <c r="AK42" s="602">
        <f t="shared" ref="AK42:AV42" si="44">AK22*$C42</f>
        <v>9248.1866698176</v>
      </c>
      <c r="AL42" s="602">
        <f t="shared" si="44"/>
        <v>10116.726707310811</v>
      </c>
      <c r="AM42" s="602">
        <f t="shared" si="44"/>
        <v>10747.87852063321</v>
      </c>
      <c r="AN42" s="602">
        <f t="shared" si="44"/>
        <v>11470.133314635399</v>
      </c>
      <c r="AO42" s="602">
        <f t="shared" si="44"/>
        <v>11598.200013801295</v>
      </c>
      <c r="AP42" s="602">
        <f t="shared" si="44"/>
        <v>11308.102105342454</v>
      </c>
      <c r="AQ42" s="602">
        <f t="shared" si="44"/>
        <v>11616.86378282025</v>
      </c>
      <c r="AR42" s="602">
        <f t="shared" si="44"/>
        <v>12611.373986245819</v>
      </c>
      <c r="AS42" s="602">
        <f t="shared" si="44"/>
        <v>13202.43767405461</v>
      </c>
      <c r="AT42" s="602">
        <f t="shared" si="44"/>
        <v>14527.653104553603</v>
      </c>
      <c r="AU42" s="602">
        <f t="shared" si="44"/>
        <v>16087.197620745723</v>
      </c>
      <c r="AV42" s="602">
        <f t="shared" si="44"/>
        <v>14626.814162863049</v>
      </c>
      <c r="AW42" s="587">
        <f>SUM(AK42:AV42)</f>
        <v>147161.56766282383</v>
      </c>
      <c r="AX42" s="585"/>
      <c r="AY42" s="602">
        <f t="shared" ref="AY42:BJ42" si="45">AY22*$C42</f>
        <v>14910.022467286575</v>
      </c>
      <c r="AZ42" s="602">
        <f t="shared" si="45"/>
        <v>15547.37299125553</v>
      </c>
      <c r="BA42" s="602">
        <f t="shared" si="45"/>
        <v>16170.920043721762</v>
      </c>
      <c r="BB42" s="602">
        <f t="shared" si="45"/>
        <v>16326.621198994426</v>
      </c>
      <c r="BC42" s="602">
        <f t="shared" si="45"/>
        <v>16164.966726293414</v>
      </c>
      <c r="BD42" s="602">
        <f t="shared" si="45"/>
        <v>15570.482596639884</v>
      </c>
      <c r="BE42" s="602">
        <f t="shared" si="45"/>
        <v>15888.891201889081</v>
      </c>
      <c r="BF42" s="602">
        <f t="shared" si="45"/>
        <v>17124.586369450673</v>
      </c>
      <c r="BG42" s="602">
        <f t="shared" si="45"/>
        <v>17709.839715360042</v>
      </c>
      <c r="BH42" s="602">
        <f t="shared" si="45"/>
        <v>19154.179996396575</v>
      </c>
      <c r="BI42" s="602">
        <f t="shared" si="45"/>
        <v>20882.907995652458</v>
      </c>
      <c r="BJ42" s="602">
        <f t="shared" si="45"/>
        <v>18725.351555247882</v>
      </c>
      <c r="BK42" s="588">
        <f>SUM(AY42:BJ42)</f>
        <v>204176.14285818828</v>
      </c>
      <c r="BL42" s="585"/>
      <c r="BM42" s="602">
        <f t="shared" ref="BM42:CA42" si="46">BM22*$C42</f>
        <v>18875.45725187875</v>
      </c>
      <c r="BN42" s="602">
        <f t="shared" si="46"/>
        <v>19489.523190256292</v>
      </c>
      <c r="BO42" s="602">
        <f t="shared" si="46"/>
        <v>20080.56369749318</v>
      </c>
      <c r="BP42" s="602">
        <f t="shared" si="46"/>
        <v>20088.12582758359</v>
      </c>
      <c r="BQ42" s="602">
        <f t="shared" si="46"/>
        <v>19712.53144848103</v>
      </c>
      <c r="BR42" s="602">
        <f t="shared" si="46"/>
        <v>18820.745827985967</v>
      </c>
      <c r="BS42" s="602">
        <f t="shared" si="46"/>
        <v>19037.967703097125</v>
      </c>
      <c r="BT42" s="602">
        <f t="shared" si="46"/>
        <v>20349.085895054584</v>
      </c>
      <c r="BU42" s="602">
        <f t="shared" si="46"/>
        <v>20874.323175684207</v>
      </c>
      <c r="BV42" s="602">
        <f t="shared" si="46"/>
        <v>22393.919614441151</v>
      </c>
      <c r="BW42" s="602">
        <f t="shared" si="46"/>
        <v>24236.428748634738</v>
      </c>
      <c r="BX42" s="602">
        <f t="shared" si="46"/>
        <v>21466.436496914583</v>
      </c>
      <c r="BY42" s="604">
        <f>SUM(BM42:BX42)</f>
        <v>245425.10887750518</v>
      </c>
      <c r="BZ42" s="602">
        <f t="shared" si="46"/>
        <v>272243.881268189</v>
      </c>
      <c r="CA42" s="602">
        <f t="shared" si="46"/>
        <v>299129.89195210324</v>
      </c>
      <c r="CB42" s="287"/>
      <c r="CC42" s="287"/>
      <c r="CD42" s="287"/>
    </row>
    <row r="43" spans="1:82" ht="14.5" x14ac:dyDescent="0.4">
      <c r="B43" s="605" t="str">
        <f>+Aufwand!B47</f>
        <v>zu bezahlende Vorsteuer 20%</v>
      </c>
      <c r="C43" s="606"/>
      <c r="D43" s="606"/>
      <c r="E43" s="606"/>
      <c r="F43" s="606"/>
      <c r="G43" s="606"/>
      <c r="H43" s="607">
        <f>+Aufwand!H47</f>
        <v>0</v>
      </c>
      <c r="I43" s="607">
        <f>+Aufwand!I47</f>
        <v>0</v>
      </c>
      <c r="J43" s="607">
        <f>+Aufwand!J47</f>
        <v>0</v>
      </c>
      <c r="K43" s="607">
        <f>+Aufwand!K47</f>
        <v>0</v>
      </c>
      <c r="L43" s="607">
        <f>+Aufwand!L47</f>
        <v>0</v>
      </c>
      <c r="M43" s="607">
        <f>+Aufwand!M47</f>
        <v>4297.7922077922076</v>
      </c>
      <c r="N43" s="607">
        <f>+Aufwand!N47</f>
        <v>10.8</v>
      </c>
      <c r="O43" s="607">
        <f>+Aufwand!O47</f>
        <v>432.6</v>
      </c>
      <c r="P43" s="607">
        <f>+Aufwand!P47</f>
        <v>685.11000000000013</v>
      </c>
      <c r="Q43" s="607">
        <f>+Aufwand!Q47</f>
        <v>429</v>
      </c>
      <c r="R43" s="607">
        <f>+Aufwand!R47</f>
        <v>4611.6400000000003</v>
      </c>
      <c r="S43" s="607">
        <f>+Aufwand!S47</f>
        <v>12716.782920000001</v>
      </c>
      <c r="T43" s="608">
        <f>SUM(H43:S43)</f>
        <v>23183.725127792211</v>
      </c>
      <c r="U43" s="609"/>
      <c r="V43" s="607">
        <f>+Aufwand!V47</f>
        <v>1688.0977783549761</v>
      </c>
      <c r="W43" s="607">
        <f>+Aufwand!W47</f>
        <v>1313.6977783549762</v>
      </c>
      <c r="X43" s="607">
        <f>+Aufwand!X47</f>
        <v>4071.1657783549763</v>
      </c>
      <c r="Y43" s="607">
        <f>+Aufwand!Y47</f>
        <v>4137.0737783549766</v>
      </c>
      <c r="Z43" s="607">
        <f>+Aufwand!Z47</f>
        <v>8241.1645783549793</v>
      </c>
      <c r="AA43" s="607">
        <f>+Aufwand!AA47</f>
        <v>64140.787898874463</v>
      </c>
      <c r="AB43" s="556">
        <f>SUM(V43:AA43)</f>
        <v>83591.98759064934</v>
      </c>
      <c r="AC43" s="607">
        <f>+Aufwand!AB47</f>
        <v>48473.395232207797</v>
      </c>
      <c r="AD43" s="607">
        <f>+Aufwand!AC47</f>
        <v>27696.235443982681</v>
      </c>
      <c r="AE43" s="607">
        <f>+Aufwand!AD47</f>
        <v>27467.57418354286</v>
      </c>
      <c r="AF43" s="607">
        <f>+Aufwand!AE47</f>
        <v>18169.090980076191</v>
      </c>
      <c r="AG43" s="607">
        <f>+Aufwand!AF47</f>
        <v>36056.092979809524</v>
      </c>
      <c r="AH43" s="607">
        <f>+Aufwand!AG47</f>
        <v>6795.8790597679654</v>
      </c>
      <c r="AI43" s="557">
        <f>SUM(V43:AH43)-AB43</f>
        <v>248250.2554700363</v>
      </c>
      <c r="AJ43" s="609"/>
      <c r="AK43" s="607">
        <f>+Aufwand!AJ47</f>
        <v>10077.110470910811</v>
      </c>
      <c r="AL43" s="607">
        <f>+Aufwand!AK47</f>
        <v>20082.893007376966</v>
      </c>
      <c r="AM43" s="607">
        <f>+Aufwand!AL47</f>
        <v>3315.6987738636599</v>
      </c>
      <c r="AN43" s="607">
        <f>+Aufwand!AM47</f>
        <v>2979.6769570787687</v>
      </c>
      <c r="AO43" s="607">
        <f>+Aufwand!AN47</f>
        <v>4361.4631750961044</v>
      </c>
      <c r="AP43" s="607">
        <f>+Aufwand!AO47</f>
        <v>3118.9050853504673</v>
      </c>
      <c r="AQ43" s="607">
        <f>+Aufwand!AP47</f>
        <v>2978.4992229847953</v>
      </c>
      <c r="AR43" s="607">
        <f>+Aufwand!AQ47</f>
        <v>3188.5955985681385</v>
      </c>
      <c r="AS43" s="607">
        <f>+Aufwand!AR47</f>
        <v>3334.5322595018388</v>
      </c>
      <c r="AT43" s="607">
        <f>+Aufwand!AS47</f>
        <v>2999.4510753402046</v>
      </c>
      <c r="AU43" s="607">
        <f>+Aufwand!AT47</f>
        <v>3221.5932018804142</v>
      </c>
      <c r="AV43" s="607">
        <f>+Aufwand!AU47</f>
        <v>3146.5539193603909</v>
      </c>
      <c r="AW43" s="610">
        <f>SUM(AK43:AV43)</f>
        <v>62804.972747312553</v>
      </c>
      <c r="AX43" s="609"/>
      <c r="AY43" s="607">
        <f>+Aufwand!AX47</f>
        <v>3366.5215223510095</v>
      </c>
      <c r="AZ43" s="607">
        <f>+Aufwand!AY47</f>
        <v>2974.1291198977724</v>
      </c>
      <c r="BA43" s="607">
        <f>+Aufwand!AZ47</f>
        <v>3383.5082642648836</v>
      </c>
      <c r="BB43" s="607">
        <f>+Aufwand!BA47</f>
        <v>3031.0332156834752</v>
      </c>
      <c r="BC43" s="607">
        <f>+Aufwand!BB47</f>
        <v>4244.3693763054171</v>
      </c>
      <c r="BD43" s="607">
        <f>+Aufwand!BC47</f>
        <v>3169.9540855499245</v>
      </c>
      <c r="BE43" s="607">
        <f>+Aufwand!BD47</f>
        <v>3025.8923985680517</v>
      </c>
      <c r="BF43" s="607">
        <f>+Aufwand!BE47</f>
        <v>3877.142302523032</v>
      </c>
      <c r="BG43" s="607">
        <f>+Aufwand!BF47</f>
        <v>3394.5131023234921</v>
      </c>
      <c r="BH43" s="607">
        <f>+Aufwand!BG47</f>
        <v>3049.381320140561</v>
      </c>
      <c r="BI43" s="607">
        <f>+Aufwand!BH47</f>
        <v>3075.7477702957917</v>
      </c>
      <c r="BJ43" s="607">
        <f>+Aufwand!BI47</f>
        <v>3196.494706990567</v>
      </c>
      <c r="BK43" s="611">
        <f>SUM(AY43:BJ43)</f>
        <v>39788.687184893977</v>
      </c>
      <c r="BL43" s="609"/>
      <c r="BM43" s="607">
        <f>+Aufwand!BL47</f>
        <v>3527.4698742210153</v>
      </c>
      <c r="BN43" s="607">
        <f>+Aufwand!BM47</f>
        <v>3124.7626657518185</v>
      </c>
      <c r="BO43" s="607">
        <f>+Aufwand!BN47</f>
        <v>3494.0309429853182</v>
      </c>
      <c r="BP43" s="607">
        <f>+Aufwand!BO47</f>
        <v>3130.4234643767622</v>
      </c>
      <c r="BQ43" s="607">
        <f>+Aufwand!BP47</f>
        <v>4373.157793400077</v>
      </c>
      <c r="BR43" s="607">
        <f>+Aufwand!BQ47</f>
        <v>3269.2248774322738</v>
      </c>
      <c r="BS43" s="607">
        <f>+Aufwand!BR47</f>
        <v>3119.141320777695</v>
      </c>
      <c r="BT43" s="607">
        <f>+Aufwand!BS47</f>
        <v>3133.356420631158</v>
      </c>
      <c r="BU43" s="607">
        <f>+Aufwand!BT47</f>
        <v>3498.0074268533581</v>
      </c>
      <c r="BV43" s="607">
        <f>+Aufwand!BU47</f>
        <v>3143.116943255769</v>
      </c>
      <c r="BW43" s="607">
        <f>+Aufwand!BV47</f>
        <v>3172.4272425714057</v>
      </c>
      <c r="BX43" s="607">
        <f>+Aufwand!BW47</f>
        <v>3291.7347669955607</v>
      </c>
      <c r="BY43" s="612">
        <f>SUM(BM43:BX43)</f>
        <v>40276.853739252219</v>
      </c>
      <c r="BZ43" s="607">
        <f>Aufwand!CL47</f>
        <v>43222.726234927846</v>
      </c>
      <c r="CA43" s="607">
        <f>Aufwand!CZ47</f>
        <v>43588.141079841116</v>
      </c>
      <c r="CB43" s="278"/>
      <c r="CC43" s="278"/>
      <c r="CD43" s="278"/>
    </row>
    <row r="44" spans="1:82" s="278" customFormat="1" ht="14.5" x14ac:dyDescent="0.4">
      <c r="A44" s="194"/>
      <c r="B44" s="601" t="s">
        <v>593</v>
      </c>
      <c r="C44" s="601"/>
      <c r="D44" s="601"/>
      <c r="E44" s="601"/>
      <c r="F44" s="601"/>
      <c r="G44" s="601"/>
      <c r="H44" s="544">
        <f t="shared" ref="H44:S44" si="47">SUM(H42:H43)</f>
        <v>0</v>
      </c>
      <c r="I44" s="544">
        <f t="shared" si="47"/>
        <v>0</v>
      </c>
      <c r="J44" s="544">
        <f t="shared" si="47"/>
        <v>0</v>
      </c>
      <c r="K44" s="544">
        <f t="shared" si="47"/>
        <v>0</v>
      </c>
      <c r="L44" s="544">
        <f t="shared" si="47"/>
        <v>0</v>
      </c>
      <c r="M44" s="544">
        <f t="shared" si="47"/>
        <v>4297.7922077922076</v>
      </c>
      <c r="N44" s="544">
        <f t="shared" si="47"/>
        <v>10.8</v>
      </c>
      <c r="O44" s="544">
        <f t="shared" si="47"/>
        <v>432.6</v>
      </c>
      <c r="P44" s="544">
        <f t="shared" si="47"/>
        <v>685.11000000000013</v>
      </c>
      <c r="Q44" s="544">
        <f t="shared" si="47"/>
        <v>429</v>
      </c>
      <c r="R44" s="544">
        <f t="shared" si="47"/>
        <v>4611.6400000000003</v>
      </c>
      <c r="S44" s="544">
        <f t="shared" si="47"/>
        <v>12716.782920000001</v>
      </c>
      <c r="T44" s="603">
        <f>SUM(H44:S44)</f>
        <v>23183.725127792211</v>
      </c>
      <c r="U44" s="585"/>
      <c r="V44" s="544">
        <f t="shared" ref="V44:AA44" si="48">SUM(V42:V43)</f>
        <v>1688.0977783549761</v>
      </c>
      <c r="W44" s="544">
        <f t="shared" si="48"/>
        <v>1313.6977783549762</v>
      </c>
      <c r="X44" s="544">
        <f t="shared" si="48"/>
        <v>4071.1657783549763</v>
      </c>
      <c r="Y44" s="544">
        <f t="shared" si="48"/>
        <v>4137.0737783549766</v>
      </c>
      <c r="Z44" s="544">
        <f t="shared" si="48"/>
        <v>8241.1645783549793</v>
      </c>
      <c r="AA44" s="544">
        <f t="shared" si="48"/>
        <v>64140.787898874463</v>
      </c>
      <c r="AB44" s="556">
        <f>SUM(V44:AA44)</f>
        <v>83591.98759064934</v>
      </c>
      <c r="AC44" s="544">
        <f t="shared" ref="AC44:AH44" si="49">SUM(AC42:AC43)</f>
        <v>48473.395232207797</v>
      </c>
      <c r="AD44" s="544">
        <f t="shared" si="49"/>
        <v>27696.235443982681</v>
      </c>
      <c r="AE44" s="544">
        <f t="shared" si="49"/>
        <v>47094.427412342862</v>
      </c>
      <c r="AF44" s="544">
        <f t="shared" si="49"/>
        <v>26846.291155830037</v>
      </c>
      <c r="AG44" s="544">
        <f t="shared" si="49"/>
        <v>45990.08199544029</v>
      </c>
      <c r="AH44" s="544">
        <f t="shared" si="49"/>
        <v>15934.332416786758</v>
      </c>
      <c r="AI44" s="557">
        <f>SUM(V26:AH26)-AB26</f>
        <v>80948.5</v>
      </c>
      <c r="AJ44" s="585"/>
      <c r="AK44" s="544">
        <f t="shared" ref="AK44:AV44" si="50">SUM(AK42:AK43)</f>
        <v>19325.297140728413</v>
      </c>
      <c r="AL44" s="544">
        <f t="shared" si="50"/>
        <v>30199.619714687775</v>
      </c>
      <c r="AM44" s="544">
        <f t="shared" si="50"/>
        <v>14063.57729449687</v>
      </c>
      <c r="AN44" s="544">
        <f t="shared" si="50"/>
        <v>14449.810271714168</v>
      </c>
      <c r="AO44" s="544">
        <f t="shared" si="50"/>
        <v>15959.663188897401</v>
      </c>
      <c r="AP44" s="544">
        <f t="shared" si="50"/>
        <v>14427.007190692921</v>
      </c>
      <c r="AQ44" s="544">
        <f t="shared" si="50"/>
        <v>14595.363005805046</v>
      </c>
      <c r="AR44" s="544">
        <f t="shared" si="50"/>
        <v>15799.969584813956</v>
      </c>
      <c r="AS44" s="544">
        <f t="shared" si="50"/>
        <v>16536.969933556451</v>
      </c>
      <c r="AT44" s="544">
        <f t="shared" si="50"/>
        <v>17527.104179893809</v>
      </c>
      <c r="AU44" s="544">
        <f t="shared" si="50"/>
        <v>19308.790822626135</v>
      </c>
      <c r="AV44" s="544">
        <f t="shared" si="50"/>
        <v>17773.368082223438</v>
      </c>
      <c r="AW44" s="587">
        <f>SUM(AK44:AV44)</f>
        <v>209966.54041013637</v>
      </c>
      <c r="AX44" s="585"/>
      <c r="AY44" s="544">
        <f t="shared" ref="AY44:BJ44" si="51">SUM(AY42:AY43)</f>
        <v>18276.543989637583</v>
      </c>
      <c r="AZ44" s="544">
        <f t="shared" si="51"/>
        <v>18521.502111153302</v>
      </c>
      <c r="BA44" s="544">
        <f t="shared" si="51"/>
        <v>19554.428307986647</v>
      </c>
      <c r="BB44" s="544">
        <f t="shared" si="51"/>
        <v>19357.654414677902</v>
      </c>
      <c r="BC44" s="544">
        <f t="shared" si="51"/>
        <v>20409.336102598831</v>
      </c>
      <c r="BD44" s="544">
        <f t="shared" si="51"/>
        <v>18740.436682189807</v>
      </c>
      <c r="BE44" s="544">
        <f t="shared" si="51"/>
        <v>18914.783600457133</v>
      </c>
      <c r="BF44" s="544">
        <f t="shared" si="51"/>
        <v>21001.728671973706</v>
      </c>
      <c r="BG44" s="544">
        <f t="shared" si="51"/>
        <v>21104.352817683535</v>
      </c>
      <c r="BH44" s="544">
        <f t="shared" si="51"/>
        <v>22203.561316537136</v>
      </c>
      <c r="BI44" s="544">
        <f t="shared" si="51"/>
        <v>23958.65576594825</v>
      </c>
      <c r="BJ44" s="544">
        <f t="shared" si="51"/>
        <v>21921.84626223845</v>
      </c>
      <c r="BK44" s="588">
        <f>SUM(AY44:BJ44)</f>
        <v>243964.8300430823</v>
      </c>
      <c r="BL44" s="585"/>
      <c r="BM44" s="544">
        <f t="shared" ref="BM44:CA44" si="52">SUM(BM42:BM43)</f>
        <v>22402.927126099767</v>
      </c>
      <c r="BN44" s="544">
        <f t="shared" si="52"/>
        <v>22614.285856008111</v>
      </c>
      <c r="BO44" s="544">
        <f t="shared" si="52"/>
        <v>23574.594640478499</v>
      </c>
      <c r="BP44" s="544">
        <f t="shared" si="52"/>
        <v>23218.549291960353</v>
      </c>
      <c r="BQ44" s="544">
        <f t="shared" si="52"/>
        <v>24085.689241881108</v>
      </c>
      <c r="BR44" s="544">
        <f t="shared" si="52"/>
        <v>22089.97070541824</v>
      </c>
      <c r="BS44" s="544">
        <f t="shared" si="52"/>
        <v>22157.109023874822</v>
      </c>
      <c r="BT44" s="544">
        <f t="shared" si="52"/>
        <v>23482.442315685741</v>
      </c>
      <c r="BU44" s="544">
        <f t="shared" si="52"/>
        <v>24372.330602537564</v>
      </c>
      <c r="BV44" s="544">
        <f t="shared" si="52"/>
        <v>25537.03655769692</v>
      </c>
      <c r="BW44" s="544">
        <f t="shared" si="52"/>
        <v>27408.855991206143</v>
      </c>
      <c r="BX44" s="544">
        <f t="shared" si="52"/>
        <v>24758.171263910142</v>
      </c>
      <c r="BY44" s="604">
        <f>SUM(BM44:BX44)</f>
        <v>285701.96261675743</v>
      </c>
      <c r="BZ44" s="544">
        <f t="shared" si="52"/>
        <v>315466.60750311683</v>
      </c>
      <c r="CA44" s="544">
        <f t="shared" si="52"/>
        <v>342718.03303194436</v>
      </c>
      <c r="CB44" s="589"/>
    </row>
    <row r="45" spans="1:82" s="287" customFormat="1" ht="14.5" x14ac:dyDescent="0.4">
      <c r="A45" s="545"/>
      <c r="B45" s="613" t="str">
        <f>Mitgl!B14</f>
        <v>Umsatzsteuer Umsatz Supermarkt 11,4%</v>
      </c>
      <c r="C45" s="614"/>
      <c r="D45" s="614"/>
      <c r="E45" s="614"/>
      <c r="F45" s="614"/>
      <c r="G45" s="614"/>
      <c r="H45" s="615">
        <f>Mitgl!H14</f>
        <v>0</v>
      </c>
      <c r="I45" s="615">
        <f>Mitgl!I14</f>
        <v>0</v>
      </c>
      <c r="J45" s="615">
        <f>Mitgl!J14</f>
        <v>0</v>
      </c>
      <c r="K45" s="615">
        <f>Mitgl!K14</f>
        <v>0</v>
      </c>
      <c r="L45" s="615">
        <f>Mitgl!L14</f>
        <v>0</v>
      </c>
      <c r="M45" s="615">
        <f>Mitgl!M14</f>
        <v>0</v>
      </c>
      <c r="N45" s="615">
        <f>Mitgl!N14</f>
        <v>0</v>
      </c>
      <c r="O45" s="615">
        <f>Mitgl!O14</f>
        <v>0</v>
      </c>
      <c r="P45" s="615">
        <f>Mitgl!P14</f>
        <v>0</v>
      </c>
      <c r="Q45" s="615">
        <f>Mitgl!Q14</f>
        <v>0</v>
      </c>
      <c r="R45" s="615">
        <f>Mitgl!R14</f>
        <v>0</v>
      </c>
      <c r="S45" s="615">
        <f>Mitgl!S14</f>
        <v>0</v>
      </c>
      <c r="T45" s="603">
        <f>SUM(H45:S45)</f>
        <v>0</v>
      </c>
      <c r="U45" s="585"/>
      <c r="V45" s="615">
        <f>Mitgl!V14</f>
        <v>0</v>
      </c>
      <c r="W45" s="615">
        <f>Mitgl!W14</f>
        <v>0</v>
      </c>
      <c r="X45" s="615">
        <f>Mitgl!X14</f>
        <v>0</v>
      </c>
      <c r="Y45" s="615">
        <f>Mitgl!Y14</f>
        <v>0</v>
      </c>
      <c r="Z45" s="615">
        <f>Mitgl!Z14</f>
        <v>0</v>
      </c>
      <c r="AA45" s="615">
        <f>Mitgl!AA14</f>
        <v>0</v>
      </c>
      <c r="AB45" s="556">
        <f>SUM(V45:AA45)</f>
        <v>0</v>
      </c>
      <c r="AC45" s="615">
        <f>Mitgl!AB14</f>
        <v>0</v>
      </c>
      <c r="AD45" s="615">
        <f>Mitgl!AC14</f>
        <v>0</v>
      </c>
      <c r="AE45" s="615">
        <f>Mitgl!AD14</f>
        <v>9232.4897279999986</v>
      </c>
      <c r="AF45" s="615">
        <f>Mitgl!AE14</f>
        <v>10624.084992</v>
      </c>
      <c r="AG45" s="615">
        <f>Mitgl!AF14</f>
        <v>13225.605120000004</v>
      </c>
      <c r="AH45" s="615">
        <f>Mitgl!AG14</f>
        <v>11394.367488000002</v>
      </c>
      <c r="AI45" s="557">
        <f>SUM(V27:AH27)-AB27</f>
        <v>77262.301818181819</v>
      </c>
      <c r="AJ45" s="616"/>
      <c r="AK45" s="615">
        <f>Mitgl!AJ14</f>
        <v>11458.078861875274</v>
      </c>
      <c r="AL45" s="615">
        <f>Mitgl!AK14</f>
        <v>12846.577657792046</v>
      </c>
      <c r="AM45" s="615">
        <f>Mitgl!AL14</f>
        <v>13462.791057053893</v>
      </c>
      <c r="AN45" s="615">
        <f>Mitgl!AM14</f>
        <v>14614.220894943042</v>
      </c>
      <c r="AO45" s="615">
        <f>Mitgl!AN14</f>
        <v>14856.262114909092</v>
      </c>
      <c r="AP45" s="615">
        <f>Mitgl!AO14</f>
        <v>14245.533213476847</v>
      </c>
      <c r="AQ45" s="615">
        <f>Mitgl!AP14</f>
        <v>14422.418485353051</v>
      </c>
      <c r="AR45" s="615">
        <f>Mitgl!AQ14</f>
        <v>16066.685366068965</v>
      </c>
      <c r="AS45" s="615">
        <f>Mitgl!AR14</f>
        <v>16529.958718128772</v>
      </c>
      <c r="AT45" s="615">
        <f>Mitgl!AS14</f>
        <v>17834.577297519681</v>
      </c>
      <c r="AU45" s="615">
        <f>Mitgl!AT14</f>
        <v>21440.580762639591</v>
      </c>
      <c r="AV45" s="615">
        <f>Mitgl!AU14</f>
        <v>18057.053837950083</v>
      </c>
      <c r="AW45" s="587">
        <f>SUM(AK45:AV45)</f>
        <v>185834.73826771035</v>
      </c>
      <c r="AX45" s="585"/>
      <c r="AY45" s="615">
        <f>Mitgl!AX14</f>
        <v>18835.428072303544</v>
      </c>
      <c r="AZ45" s="615">
        <f>Mitgl!AY14</f>
        <v>19598.836815633549</v>
      </c>
      <c r="BA45" s="615">
        <f>Mitgl!AZ14</f>
        <v>20579.454126848817</v>
      </c>
      <c r="BB45" s="615">
        <f>Mitgl!BA14</f>
        <v>20719.789986447944</v>
      </c>
      <c r="BC45" s="615">
        <f>Mitgl!BB14</f>
        <v>20725.679002021243</v>
      </c>
      <c r="BD45" s="615">
        <f>Mitgl!BC14</f>
        <v>19609.773593269681</v>
      </c>
      <c r="BE45" s="615">
        <f>Mitgl!BD14</f>
        <v>19742.598657335009</v>
      </c>
      <c r="BF45" s="615">
        <f>Mitgl!BE14</f>
        <v>21854.840158574621</v>
      </c>
      <c r="BG45" s="615">
        <f>Mitgl!BF14</f>
        <v>22231.69806893538</v>
      </c>
      <c r="BH45" s="615">
        <f>Mitgl!BG14</f>
        <v>23567.937313429386</v>
      </c>
      <c r="BI45" s="615">
        <f>Mitgl!BH14</f>
        <v>27861.902052995571</v>
      </c>
      <c r="BJ45" s="615">
        <f>Mitgl!BI14</f>
        <v>23127.571203401771</v>
      </c>
      <c r="BK45" s="588">
        <f>SUM(AY45:BJ45)</f>
        <v>258455.50905119651</v>
      </c>
      <c r="BL45" s="585"/>
      <c r="BM45" s="615">
        <f>Mitgl!BL14</f>
        <v>23868.681575363087</v>
      </c>
      <c r="BN45" s="615">
        <f>Mitgl!BM14</f>
        <v>24593.850481808207</v>
      </c>
      <c r="BO45" s="615">
        <f>Mitgl!BN14</f>
        <v>25579.280805663824</v>
      </c>
      <c r="BP45" s="615">
        <f>Mitgl!BO14</f>
        <v>25515.751972156151</v>
      </c>
      <c r="BQ45" s="615">
        <f>Mitgl!BP14</f>
        <v>25293.342698810189</v>
      </c>
      <c r="BR45" s="615">
        <f>Mitgl!BQ14</f>
        <v>23721.721558453759</v>
      </c>
      <c r="BS45" s="615">
        <f>Mitgl!BR14</f>
        <v>23678.374300308009</v>
      </c>
      <c r="BT45" s="615">
        <f>Mitgl!BS14</f>
        <v>25993.404847872003</v>
      </c>
      <c r="BU45" s="615">
        <f>Mitgl!BT14</f>
        <v>26226.879607030391</v>
      </c>
      <c r="BV45" s="615">
        <f>Mitgl!BU14</f>
        <v>27582.975675308702</v>
      </c>
      <c r="BW45" s="615">
        <f>Mitgl!BV14</f>
        <v>32356.367278140951</v>
      </c>
      <c r="BX45" s="615">
        <f>Mitgl!BW14</f>
        <v>26655.652899706787</v>
      </c>
      <c r="BY45" s="604">
        <f>SUM(BM45:BX45)</f>
        <v>311066.28370062209</v>
      </c>
      <c r="BZ45" s="1016">
        <f>Mitgl!CL14</f>
        <v>345057.98039024929</v>
      </c>
      <c r="CA45" s="1016">
        <f>Mitgl!CZ14</f>
        <v>379134.89886542712</v>
      </c>
      <c r="CB45" s="617"/>
    </row>
    <row r="46" spans="1:82" s="629" customFormat="1" ht="14.5" x14ac:dyDescent="0.4">
      <c r="A46" s="618"/>
      <c r="B46" s="619" t="s">
        <v>594</v>
      </c>
      <c r="C46" s="619"/>
      <c r="D46" s="619"/>
      <c r="E46" s="619"/>
      <c r="F46" s="619"/>
      <c r="G46" s="619"/>
      <c r="H46" s="620">
        <f t="shared" ref="H46:S46" si="53">+H45-H44</f>
        <v>0</v>
      </c>
      <c r="I46" s="620">
        <f t="shared" si="53"/>
        <v>0</v>
      </c>
      <c r="J46" s="620">
        <f t="shared" si="53"/>
        <v>0</v>
      </c>
      <c r="K46" s="620">
        <f t="shared" si="53"/>
        <v>0</v>
      </c>
      <c r="L46" s="620">
        <f t="shared" si="53"/>
        <v>0</v>
      </c>
      <c r="M46" s="620">
        <f t="shared" si="53"/>
        <v>-4297.7922077922076</v>
      </c>
      <c r="N46" s="620">
        <f t="shared" si="53"/>
        <v>-10.8</v>
      </c>
      <c r="O46" s="620">
        <f t="shared" si="53"/>
        <v>-432.6</v>
      </c>
      <c r="P46" s="620">
        <f t="shared" si="53"/>
        <v>-685.11000000000013</v>
      </c>
      <c r="Q46" s="620">
        <f t="shared" si="53"/>
        <v>-429</v>
      </c>
      <c r="R46" s="620">
        <f t="shared" si="53"/>
        <v>-4611.6400000000003</v>
      </c>
      <c r="S46" s="620">
        <f t="shared" si="53"/>
        <v>-12716.782920000001</v>
      </c>
      <c r="T46" s="621">
        <f>SUM(H46:S46)</f>
        <v>-23183.725127792211</v>
      </c>
      <c r="U46" s="622"/>
      <c r="V46" s="620">
        <f t="shared" ref="V46:AA46" si="54">+V45-V44</f>
        <v>-1688.0977783549761</v>
      </c>
      <c r="W46" s="620">
        <f t="shared" si="54"/>
        <v>-1313.6977783549762</v>
      </c>
      <c r="X46" s="620">
        <f t="shared" si="54"/>
        <v>-4071.1657783549763</v>
      </c>
      <c r="Y46" s="620">
        <f t="shared" si="54"/>
        <v>-4137.0737783549766</v>
      </c>
      <c r="Z46" s="620">
        <f t="shared" si="54"/>
        <v>-8241.1645783549793</v>
      </c>
      <c r="AA46" s="620">
        <f t="shared" si="54"/>
        <v>-64140.787898874463</v>
      </c>
      <c r="AB46" s="556">
        <f>SUM(V46:AA46)</f>
        <v>-83591.98759064934</v>
      </c>
      <c r="AC46" s="620">
        <f t="shared" ref="AC46:AH46" si="55">+AC45-AC44</f>
        <v>-48473.395232207797</v>
      </c>
      <c r="AD46" s="620">
        <f t="shared" si="55"/>
        <v>-27696.235443982681</v>
      </c>
      <c r="AE46" s="620">
        <f t="shared" si="55"/>
        <v>-37861.937684342862</v>
      </c>
      <c r="AF46" s="620">
        <f t="shared" si="55"/>
        <v>-16222.206163830037</v>
      </c>
      <c r="AG46" s="620">
        <f t="shared" si="55"/>
        <v>-32764.476875440287</v>
      </c>
      <c r="AH46" s="620">
        <f t="shared" si="55"/>
        <v>-4539.964928786756</v>
      </c>
      <c r="AI46" s="623">
        <f>SUM(V28:AH28)-AB28</f>
        <v>1024039.6666666666</v>
      </c>
      <c r="AJ46" s="624"/>
      <c r="AK46" s="620">
        <f t="shared" ref="AK46:AV46" si="56">+AK45-AK44</f>
        <v>-7867.2182788531391</v>
      </c>
      <c r="AL46" s="620">
        <f t="shared" si="56"/>
        <v>-17353.042056895727</v>
      </c>
      <c r="AM46" s="620">
        <f t="shared" si="56"/>
        <v>-600.78623744297693</v>
      </c>
      <c r="AN46" s="620">
        <f t="shared" si="56"/>
        <v>164.4106232288741</v>
      </c>
      <c r="AO46" s="620">
        <f t="shared" si="56"/>
        <v>-1103.4010739883088</v>
      </c>
      <c r="AP46" s="620">
        <f t="shared" si="56"/>
        <v>-181.47397721607376</v>
      </c>
      <c r="AQ46" s="620">
        <f t="shared" si="56"/>
        <v>-172.94452045199432</v>
      </c>
      <c r="AR46" s="620">
        <f t="shared" si="56"/>
        <v>266.71578125500855</v>
      </c>
      <c r="AS46" s="620">
        <f t="shared" si="56"/>
        <v>-7.0112154276794172</v>
      </c>
      <c r="AT46" s="620">
        <f t="shared" si="56"/>
        <v>307.47311762587196</v>
      </c>
      <c r="AU46" s="620">
        <f t="shared" si="56"/>
        <v>2131.7899400134556</v>
      </c>
      <c r="AV46" s="620">
        <f t="shared" si="56"/>
        <v>283.68575572664486</v>
      </c>
      <c r="AW46" s="625">
        <f>SUM(AK46:AV46)</f>
        <v>-24131.802142426048</v>
      </c>
      <c r="AX46" s="622"/>
      <c r="AY46" s="620">
        <f t="shared" ref="AY46:BJ46" si="57">+AY45-AY44</f>
        <v>558.88408266596161</v>
      </c>
      <c r="AZ46" s="620">
        <f t="shared" si="57"/>
        <v>1077.3347044802467</v>
      </c>
      <c r="BA46" s="620">
        <f t="shared" si="57"/>
        <v>1025.0258188621701</v>
      </c>
      <c r="BB46" s="620">
        <f t="shared" si="57"/>
        <v>1362.1355717700426</v>
      </c>
      <c r="BC46" s="620">
        <f t="shared" si="57"/>
        <v>316.3428994224123</v>
      </c>
      <c r="BD46" s="620">
        <f t="shared" si="57"/>
        <v>869.33691107987397</v>
      </c>
      <c r="BE46" s="620">
        <f t="shared" si="57"/>
        <v>827.81505687787649</v>
      </c>
      <c r="BF46" s="620">
        <f t="shared" si="57"/>
        <v>853.11148660091567</v>
      </c>
      <c r="BG46" s="620">
        <f t="shared" si="57"/>
        <v>1127.3452512518452</v>
      </c>
      <c r="BH46" s="620">
        <f t="shared" si="57"/>
        <v>1364.3759968922495</v>
      </c>
      <c r="BI46" s="620">
        <f t="shared" si="57"/>
        <v>3903.2462870473209</v>
      </c>
      <c r="BJ46" s="620">
        <f t="shared" si="57"/>
        <v>1205.7249411633202</v>
      </c>
      <c r="BK46" s="626">
        <f>SUM(AY46:BJ46)</f>
        <v>14490.679008114235</v>
      </c>
      <c r="BL46" s="622"/>
      <c r="BM46" s="620">
        <f t="shared" ref="BM46:BX46" si="58">+BM45-BM44</f>
        <v>1465.7544492633206</v>
      </c>
      <c r="BN46" s="620">
        <f t="shared" si="58"/>
        <v>1979.5646258000961</v>
      </c>
      <c r="BO46" s="620">
        <f t="shared" si="58"/>
        <v>2004.6861651853251</v>
      </c>
      <c r="BP46" s="620">
        <f t="shared" si="58"/>
        <v>2297.2026801957982</v>
      </c>
      <c r="BQ46" s="620">
        <f t="shared" si="58"/>
        <v>1207.6534569290816</v>
      </c>
      <c r="BR46" s="620">
        <f t="shared" si="58"/>
        <v>1631.750853035519</v>
      </c>
      <c r="BS46" s="620">
        <f t="shared" si="58"/>
        <v>1521.265276433187</v>
      </c>
      <c r="BT46" s="620">
        <f t="shared" si="58"/>
        <v>2510.9625321862623</v>
      </c>
      <c r="BU46" s="620">
        <f t="shared" si="58"/>
        <v>1854.5490044928265</v>
      </c>
      <c r="BV46" s="620">
        <f t="shared" si="58"/>
        <v>2045.9391176117824</v>
      </c>
      <c r="BW46" s="620">
        <f t="shared" si="58"/>
        <v>4947.5112869348086</v>
      </c>
      <c r="BX46" s="620">
        <f t="shared" si="58"/>
        <v>1897.4816357966447</v>
      </c>
      <c r="BY46" s="627">
        <f>SUM(BM46:BX46)</f>
        <v>25364.321083864652</v>
      </c>
      <c r="BZ46" s="628"/>
      <c r="CA46" s="628"/>
      <c r="CB46" s="628"/>
    </row>
    <row r="47" spans="1:82" ht="14.5" x14ac:dyDescent="0.4">
      <c r="B47" s="278"/>
      <c r="C47" s="278"/>
      <c r="D47" s="278"/>
      <c r="E47" s="278"/>
      <c r="F47" s="278"/>
      <c r="G47" s="278"/>
      <c r="H47" s="277"/>
      <c r="I47" s="277"/>
      <c r="J47" s="277"/>
      <c r="K47" s="277"/>
      <c r="L47" s="277"/>
      <c r="M47" s="277"/>
      <c r="N47" s="277"/>
      <c r="O47" s="277"/>
      <c r="P47" s="277"/>
      <c r="Q47" s="277"/>
      <c r="R47" s="277"/>
      <c r="S47" s="277"/>
      <c r="T47" s="630"/>
      <c r="U47" s="631"/>
      <c r="V47" s="277"/>
      <c r="W47" s="277"/>
      <c r="X47" s="277"/>
      <c r="Y47" s="277"/>
      <c r="Z47" s="277"/>
      <c r="AA47" s="277"/>
      <c r="AB47" s="528"/>
      <c r="AC47" s="277"/>
      <c r="AD47" s="277"/>
      <c r="AE47" s="277"/>
      <c r="AF47" s="277"/>
      <c r="AG47" s="277"/>
      <c r="AH47" s="277"/>
      <c r="AI47" s="529"/>
      <c r="AJ47" s="527"/>
      <c r="AK47" s="277"/>
      <c r="AL47" s="277"/>
      <c r="AM47" s="277"/>
      <c r="AN47" s="277"/>
      <c r="AO47" s="277"/>
      <c r="AP47" s="277"/>
      <c r="AQ47" s="277"/>
      <c r="AR47" s="277"/>
      <c r="AS47" s="277"/>
      <c r="AT47" s="277"/>
      <c r="AU47" s="277"/>
      <c r="AV47" s="277"/>
      <c r="AW47" s="530"/>
      <c r="AX47" s="527"/>
      <c r="AY47" s="277"/>
      <c r="AZ47" s="277"/>
      <c r="BA47" s="277"/>
      <c r="BB47" s="277"/>
      <c r="BC47" s="277"/>
      <c r="BD47" s="277"/>
      <c r="BE47" s="277"/>
      <c r="BF47" s="277"/>
      <c r="BG47" s="277"/>
      <c r="BH47" s="277"/>
      <c r="BI47" s="277"/>
      <c r="BJ47" s="277"/>
      <c r="BK47" s="532"/>
      <c r="BL47" s="527"/>
      <c r="BM47" s="277"/>
      <c r="BN47" s="277"/>
      <c r="BO47" s="277"/>
      <c r="BP47" s="277"/>
      <c r="BQ47" s="277"/>
      <c r="BR47" s="277"/>
      <c r="BS47" s="277"/>
      <c r="BT47" s="277"/>
      <c r="BU47" s="277"/>
      <c r="BV47" s="277"/>
      <c r="BW47" s="277"/>
      <c r="BX47" s="277"/>
      <c r="BY47" s="533"/>
      <c r="BZ47" s="589"/>
      <c r="CA47" s="589"/>
      <c r="CB47" s="589"/>
      <c r="CC47" s="278"/>
      <c r="CD47" s="278"/>
    </row>
    <row r="48" spans="1:82" s="278" customFormat="1" ht="14.5" x14ac:dyDescent="0.4">
      <c r="A48" s="591"/>
      <c r="B48" s="297" t="s">
        <v>595</v>
      </c>
      <c r="C48" s="297"/>
      <c r="D48" s="297"/>
      <c r="E48" s="297"/>
      <c r="F48" s="297"/>
      <c r="G48" s="297"/>
      <c r="H48" s="296">
        <f t="shared" ref="H48:S48" si="59">+H19-H38</f>
        <v>454076.8495833333</v>
      </c>
      <c r="I48" s="296">
        <f t="shared" si="59"/>
        <v>18358.882916666666</v>
      </c>
      <c r="J48" s="296">
        <f t="shared" si="59"/>
        <v>8541.2729166666668</v>
      </c>
      <c r="K48" s="296">
        <f t="shared" si="59"/>
        <v>14809.872916666667</v>
      </c>
      <c r="L48" s="296">
        <f t="shared" si="59"/>
        <v>-9715.8670833333326</v>
      </c>
      <c r="M48" s="296">
        <f t="shared" si="59"/>
        <v>-31086.206996753248</v>
      </c>
      <c r="N48" s="296">
        <f t="shared" si="59"/>
        <v>1352.1029166666667</v>
      </c>
      <c r="O48" s="296">
        <f t="shared" si="59"/>
        <v>7332.9051244588773</v>
      </c>
      <c r="P48" s="296">
        <f t="shared" si="59"/>
        <v>77138.801250000004</v>
      </c>
      <c r="Q48" s="296">
        <f t="shared" si="59"/>
        <v>67871.474583333329</v>
      </c>
      <c r="R48" s="296">
        <f t="shared" si="59"/>
        <v>-9892.8604166666701</v>
      </c>
      <c r="S48" s="296">
        <f t="shared" si="59"/>
        <v>2406.0270633333348</v>
      </c>
      <c r="T48" s="526"/>
      <c r="U48" s="527"/>
      <c r="V48" s="296">
        <f t="shared" ref="V48:AA48" si="60">+V19-V38</f>
        <v>92433.590853679678</v>
      </c>
      <c r="W48" s="296">
        <f t="shared" si="60"/>
        <v>154651.20810701302</v>
      </c>
      <c r="X48" s="296">
        <f t="shared" si="60"/>
        <v>55089.58996536801</v>
      </c>
      <c r="Y48" s="296">
        <f t="shared" si="60"/>
        <v>-9460.6747012986671</v>
      </c>
      <c r="Z48" s="296">
        <f t="shared" si="60"/>
        <v>-56804.336422510816</v>
      </c>
      <c r="AA48" s="296">
        <f t="shared" si="60"/>
        <v>-195905.04337419913</v>
      </c>
      <c r="AB48" s="520"/>
      <c r="AC48" s="296">
        <f t="shared" ref="AC48:AH48" si="61">+AC19-AC38</f>
        <v>-295708.14079584414</v>
      </c>
      <c r="AD48" s="296">
        <f t="shared" si="61"/>
        <v>-116212.64324744584</v>
      </c>
      <c r="AE48" s="296">
        <f t="shared" si="61"/>
        <v>-251803.75787651597</v>
      </c>
      <c r="AF48" s="296">
        <f t="shared" si="61"/>
        <v>-32143.843711889902</v>
      </c>
      <c r="AG48" s="296">
        <f t="shared" si="61"/>
        <v>-128514.43360604969</v>
      </c>
      <c r="AH48" s="296">
        <f t="shared" si="61"/>
        <v>99803.485879813597</v>
      </c>
      <c r="AI48" s="521"/>
      <c r="AJ48" s="519"/>
      <c r="AK48" s="296">
        <f t="shared" ref="AK48:AV48" si="62">+AK19-AK38</f>
        <v>-51223.275967891896</v>
      </c>
      <c r="AL48" s="296">
        <f t="shared" si="62"/>
        <v>-72879.927112633421</v>
      </c>
      <c r="AM48" s="296">
        <f t="shared" si="62"/>
        <v>-32946.180742942233</v>
      </c>
      <c r="AN48" s="296">
        <f t="shared" si="62"/>
        <v>108070.22941629749</v>
      </c>
      <c r="AO48" s="296">
        <f t="shared" si="62"/>
        <v>52508.666841387778</v>
      </c>
      <c r="AP48" s="296">
        <f t="shared" si="62"/>
        <v>34985.369088810839</v>
      </c>
      <c r="AQ48" s="296">
        <f t="shared" si="62"/>
        <v>66210.19736904517</v>
      </c>
      <c r="AR48" s="296">
        <f t="shared" si="62"/>
        <v>-184957.8998867021</v>
      </c>
      <c r="AS48" s="296">
        <f t="shared" si="62"/>
        <v>-12025.905481536349</v>
      </c>
      <c r="AT48" s="296">
        <f t="shared" si="62"/>
        <v>-11673.195122033212</v>
      </c>
      <c r="AU48" s="296">
        <f t="shared" si="62"/>
        <v>18168.713264754275</v>
      </c>
      <c r="AV48" s="296">
        <f t="shared" si="62"/>
        <v>-4129.0170121799747</v>
      </c>
      <c r="AW48" s="522"/>
      <c r="AX48" s="519"/>
      <c r="AY48" s="296">
        <f t="shared" ref="AY48:BJ48" si="63">+AY19-AY38</f>
        <v>-8355.5334428125643</v>
      </c>
      <c r="AZ48" s="296">
        <f t="shared" si="63"/>
        <v>-5538.2735896096565</v>
      </c>
      <c r="BA48" s="296">
        <f t="shared" si="63"/>
        <v>-5006.0104333597119</v>
      </c>
      <c r="BB48" s="296">
        <f t="shared" si="63"/>
        <v>-2971.2767139752978</v>
      </c>
      <c r="BC48" s="296">
        <f t="shared" si="63"/>
        <v>-24041.350694915047</v>
      </c>
      <c r="BD48" s="296">
        <f t="shared" si="63"/>
        <v>-3886.9296439837199</v>
      </c>
      <c r="BE48" s="296">
        <f t="shared" si="63"/>
        <v>-8003.1517829430813</v>
      </c>
      <c r="BF48" s="296">
        <f t="shared" si="63"/>
        <v>-4485.8569584594225</v>
      </c>
      <c r="BG48" s="296">
        <f t="shared" si="63"/>
        <v>-3634.0806255918287</v>
      </c>
      <c r="BH48" s="296">
        <f t="shared" si="63"/>
        <v>-17984.049914480071</v>
      </c>
      <c r="BI48" s="296">
        <f t="shared" si="63"/>
        <v>15956.081964410114</v>
      </c>
      <c r="BJ48" s="296">
        <f t="shared" si="63"/>
        <v>-6576.5904210537556</v>
      </c>
      <c r="BK48" s="523"/>
      <c r="BL48" s="519"/>
      <c r="BM48" s="296">
        <f t="shared" ref="BM48:BX48" si="64">+BM19-BM38</f>
        <v>-2583.7726272356231</v>
      </c>
      <c r="BN48" s="296">
        <f t="shared" si="64"/>
        <v>677.80420073642745</v>
      </c>
      <c r="BO48" s="296">
        <f t="shared" si="64"/>
        <v>1822.0066503185371</v>
      </c>
      <c r="BP48" s="296">
        <f t="shared" si="64"/>
        <v>3303.506753143738</v>
      </c>
      <c r="BQ48" s="296">
        <f t="shared" si="64"/>
        <v>-23912.014520513359</v>
      </c>
      <c r="BR48" s="296">
        <f t="shared" si="64"/>
        <v>-1839.3145496410725</v>
      </c>
      <c r="BS48" s="296">
        <f t="shared" si="64"/>
        <v>-3889.5012124533823</v>
      </c>
      <c r="BT48" s="296">
        <f t="shared" si="64"/>
        <v>5965.5275320253859</v>
      </c>
      <c r="BU48" s="296">
        <f t="shared" si="64"/>
        <v>-43.485968314897036</v>
      </c>
      <c r="BV48" s="296">
        <f t="shared" si="64"/>
        <v>-19818.95657377108</v>
      </c>
      <c r="BW48" s="296">
        <f t="shared" si="64"/>
        <v>29457.027568918595</v>
      </c>
      <c r="BX48" s="296">
        <f t="shared" si="64"/>
        <v>-2779.5280264879693</v>
      </c>
      <c r="BY48" s="524"/>
      <c r="BZ48" s="589"/>
      <c r="CA48" s="589"/>
      <c r="CB48" s="589"/>
    </row>
    <row r="49" spans="1:82" s="278" customFormat="1" ht="14.5" x14ac:dyDescent="0.4">
      <c r="A49" s="591"/>
      <c r="B49" s="317" t="s">
        <v>596</v>
      </c>
      <c r="C49" s="317"/>
      <c r="D49" s="317"/>
      <c r="E49" s="317"/>
      <c r="F49" s="317"/>
      <c r="G49" s="317"/>
      <c r="H49" s="316">
        <f>+H48</f>
        <v>454076.8495833333</v>
      </c>
      <c r="I49" s="316">
        <f t="shared" ref="I49:S49" si="65">+H49+I48</f>
        <v>472435.73249999998</v>
      </c>
      <c r="J49" s="316">
        <f t="shared" si="65"/>
        <v>480977.00541666662</v>
      </c>
      <c r="K49" s="316">
        <f t="shared" si="65"/>
        <v>495786.8783333333</v>
      </c>
      <c r="L49" s="316">
        <f t="shared" si="65"/>
        <v>486071.01124999998</v>
      </c>
      <c r="M49" s="316">
        <f t="shared" si="65"/>
        <v>454984.80425324675</v>
      </c>
      <c r="N49" s="316">
        <f t="shared" si="65"/>
        <v>456336.90716991341</v>
      </c>
      <c r="O49" s="316">
        <f t="shared" si="65"/>
        <v>463669.8122943723</v>
      </c>
      <c r="P49" s="316">
        <f t="shared" si="65"/>
        <v>540808.61354437226</v>
      </c>
      <c r="Q49" s="316">
        <f t="shared" si="65"/>
        <v>608680.08812770562</v>
      </c>
      <c r="R49" s="316">
        <f t="shared" si="65"/>
        <v>598787.2277110389</v>
      </c>
      <c r="S49" s="632">
        <f t="shared" si="65"/>
        <v>601193.25477437221</v>
      </c>
      <c r="T49" s="633">
        <f>S49</f>
        <v>601193.25477437221</v>
      </c>
      <c r="U49" s="316"/>
      <c r="V49" s="316">
        <f>+S50+V48</f>
        <v>696358.61085367971</v>
      </c>
      <c r="W49" s="316">
        <f>+V49+W48</f>
        <v>851009.81896069273</v>
      </c>
      <c r="X49" s="316">
        <f>+W49+X48</f>
        <v>906099.40892606077</v>
      </c>
      <c r="Y49" s="316">
        <f>+X49+Y48</f>
        <v>896638.73422476207</v>
      </c>
      <c r="Z49" s="316">
        <f>+Y49+Z48</f>
        <v>839834.39780225127</v>
      </c>
      <c r="AA49" s="316">
        <f>+Z49+AA48</f>
        <v>643929.3544280522</v>
      </c>
      <c r="AB49" s="634"/>
      <c r="AC49" s="316">
        <f>+AA49+AC48</f>
        <v>348221.21363220806</v>
      </c>
      <c r="AD49" s="316">
        <f>+AC49+AD48</f>
        <v>232008.57038476222</v>
      </c>
      <c r="AE49" s="316">
        <f>+AD49+AE48</f>
        <v>-19795.18749175375</v>
      </c>
      <c r="AF49" s="316">
        <f>+AE49+AF48</f>
        <v>-51939.031203643652</v>
      </c>
      <c r="AG49" s="316">
        <f>+AF49+AG48</f>
        <v>-180453.46480969334</v>
      </c>
      <c r="AH49" s="316">
        <f>+AG49+AH48</f>
        <v>-80649.97892987974</v>
      </c>
      <c r="AI49" s="634">
        <f>AH49</f>
        <v>-80649.97892987974</v>
      </c>
      <c r="AJ49" s="316"/>
      <c r="AK49" s="787">
        <f>AK4+AK48</f>
        <v>120643.5940321081</v>
      </c>
      <c r="AL49" s="787">
        <f t="shared" ref="AL49:AV49" si="66">+AK49+AL48</f>
        <v>47763.666919474679</v>
      </c>
      <c r="AM49" s="787">
        <f t="shared" si="66"/>
        <v>14817.486176532446</v>
      </c>
      <c r="AN49" s="787">
        <f t="shared" si="66"/>
        <v>122887.71559282993</v>
      </c>
      <c r="AO49" s="787">
        <f t="shared" si="66"/>
        <v>175396.38243421772</v>
      </c>
      <c r="AP49" s="787">
        <f t="shared" si="66"/>
        <v>210381.75152302856</v>
      </c>
      <c r="AQ49" s="787">
        <f t="shared" si="66"/>
        <v>276591.94889207371</v>
      </c>
      <c r="AR49" s="787">
        <f t="shared" si="66"/>
        <v>91634.049005371606</v>
      </c>
      <c r="AS49" s="787">
        <f t="shared" si="66"/>
        <v>79608.143523835257</v>
      </c>
      <c r="AT49" s="787">
        <f t="shared" si="66"/>
        <v>67934.948401802045</v>
      </c>
      <c r="AU49" s="787">
        <f t="shared" si="66"/>
        <v>86103.66166655632</v>
      </c>
      <c r="AV49" s="787">
        <f t="shared" si="66"/>
        <v>81974.644654376345</v>
      </c>
      <c r="AW49" s="788">
        <f>AV49</f>
        <v>81974.644654376345</v>
      </c>
      <c r="AX49" s="787"/>
      <c r="AY49" s="787">
        <f>+AV49+AY48</f>
        <v>73619.111211563781</v>
      </c>
      <c r="AZ49" s="787">
        <f t="shared" ref="AZ49:BJ49" si="67">+AY49+AZ48</f>
        <v>68080.837621954124</v>
      </c>
      <c r="BA49" s="787">
        <f t="shared" si="67"/>
        <v>63074.827188594412</v>
      </c>
      <c r="BB49" s="787">
        <f t="shared" si="67"/>
        <v>60103.550474619115</v>
      </c>
      <c r="BC49" s="787">
        <f t="shared" si="67"/>
        <v>36062.199779704068</v>
      </c>
      <c r="BD49" s="787">
        <f t="shared" si="67"/>
        <v>32175.270135720348</v>
      </c>
      <c r="BE49" s="787">
        <f t="shared" si="67"/>
        <v>24172.118352777266</v>
      </c>
      <c r="BF49" s="787">
        <f t="shared" si="67"/>
        <v>19686.261394317844</v>
      </c>
      <c r="BG49" s="787">
        <f t="shared" si="67"/>
        <v>16052.180768726015</v>
      </c>
      <c r="BH49" s="787">
        <f t="shared" si="67"/>
        <v>-1931.8691457540554</v>
      </c>
      <c r="BI49" s="787">
        <f t="shared" si="67"/>
        <v>14024.212818656059</v>
      </c>
      <c r="BJ49" s="787">
        <f t="shared" si="67"/>
        <v>7447.622397602303</v>
      </c>
      <c r="BK49" s="789">
        <f>BJ49</f>
        <v>7447.622397602303</v>
      </c>
      <c r="BL49" s="787"/>
      <c r="BM49" s="787">
        <f>+BJ49+BM48</f>
        <v>4863.8497703666799</v>
      </c>
      <c r="BN49" s="787">
        <f t="shared" ref="BN49:BX49" si="68">+BM49+BN48</f>
        <v>5541.6539711031073</v>
      </c>
      <c r="BO49" s="787">
        <f t="shared" si="68"/>
        <v>7363.6606214216445</v>
      </c>
      <c r="BP49" s="787">
        <f t="shared" si="68"/>
        <v>10667.167374565382</v>
      </c>
      <c r="BQ49" s="787">
        <f t="shared" si="68"/>
        <v>-13244.847145947977</v>
      </c>
      <c r="BR49" s="787">
        <f t="shared" si="68"/>
        <v>-15084.161695589049</v>
      </c>
      <c r="BS49" s="787">
        <f t="shared" si="68"/>
        <v>-18973.662908042432</v>
      </c>
      <c r="BT49" s="787">
        <f t="shared" si="68"/>
        <v>-13008.135376017046</v>
      </c>
      <c r="BU49" s="787">
        <f t="shared" si="68"/>
        <v>-13051.621344331943</v>
      </c>
      <c r="BV49" s="787">
        <f t="shared" si="68"/>
        <v>-32870.577918103023</v>
      </c>
      <c r="BW49" s="787">
        <f t="shared" si="68"/>
        <v>-3413.5503491844283</v>
      </c>
      <c r="BX49" s="787">
        <f t="shared" si="68"/>
        <v>-6193.0783756723977</v>
      </c>
      <c r="BY49" s="790">
        <f>BX49</f>
        <v>-6193.0783756723977</v>
      </c>
    </row>
    <row r="50" spans="1:82" ht="14.5" x14ac:dyDescent="0.4">
      <c r="B50" s="317" t="s">
        <v>597</v>
      </c>
      <c r="C50" s="317"/>
      <c r="D50" s="317"/>
      <c r="E50" s="317"/>
      <c r="F50" s="317"/>
      <c r="G50" s="317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637">
        <f>+Bil!F19</f>
        <v>603925.02</v>
      </c>
      <c r="T50" s="573">
        <f>S50</f>
        <v>603925.02</v>
      </c>
      <c r="U50" s="316"/>
      <c r="V50" s="316"/>
      <c r="W50" s="316"/>
      <c r="X50" s="316"/>
      <c r="Y50" s="316"/>
      <c r="Z50" s="316"/>
      <c r="AA50" s="638">
        <f>Saldenlisten24_25!M20</f>
        <v>592005.80000000005</v>
      </c>
      <c r="AB50" s="634"/>
      <c r="AC50" s="316"/>
      <c r="AD50" s="316"/>
      <c r="AE50" s="316"/>
      <c r="AF50" s="316"/>
      <c r="AG50" s="316"/>
      <c r="AH50" s="316"/>
      <c r="AI50" s="634"/>
      <c r="AJ50" s="316"/>
      <c r="AK50" s="316"/>
      <c r="AL50" s="316"/>
      <c r="AM50" s="316"/>
      <c r="AN50" s="316"/>
      <c r="AO50" s="316"/>
      <c r="AP50" s="316"/>
      <c r="AQ50" s="316"/>
      <c r="AR50" s="316"/>
      <c r="AS50" s="316"/>
      <c r="AT50" s="316"/>
      <c r="AU50" s="316"/>
      <c r="AV50" s="316"/>
      <c r="AW50" s="635"/>
      <c r="AX50" s="316"/>
      <c r="AY50" s="316"/>
      <c r="AZ50" s="316"/>
      <c r="BA50" s="316"/>
      <c r="BB50" s="316"/>
      <c r="BC50" s="316"/>
      <c r="BD50" s="316"/>
      <c r="BE50" s="316"/>
      <c r="BF50" s="316"/>
      <c r="BG50" s="316"/>
      <c r="BH50" s="316"/>
      <c r="BI50" s="316"/>
      <c r="BJ50" s="316"/>
      <c r="BK50" s="636"/>
      <c r="BL50" s="316"/>
      <c r="BM50" s="316"/>
      <c r="BN50" s="316"/>
      <c r="BO50" s="316"/>
      <c r="BP50" s="316"/>
      <c r="BQ50" s="316"/>
      <c r="BR50" s="316"/>
      <c r="BS50" s="316"/>
      <c r="BT50" s="316"/>
      <c r="BU50" s="316"/>
      <c r="BV50" s="316"/>
      <c r="BW50" s="316"/>
      <c r="BX50" s="316"/>
      <c r="BY50" s="316"/>
      <c r="BZ50" s="278"/>
      <c r="CA50" s="278"/>
      <c r="CB50" s="278"/>
      <c r="CC50" s="278"/>
      <c r="CD50" s="278"/>
    </row>
    <row r="51" spans="1:82" ht="14.5" x14ac:dyDescent="0.4">
      <c r="H51" s="277"/>
      <c r="I51" s="277"/>
      <c r="J51" s="277"/>
      <c r="K51" s="277"/>
      <c r="L51" s="277"/>
      <c r="M51" s="277"/>
      <c r="N51" s="277"/>
      <c r="O51" s="277"/>
      <c r="P51" s="277"/>
      <c r="Q51" s="277"/>
      <c r="R51" s="277"/>
      <c r="S51" s="277"/>
      <c r="T51" s="527"/>
      <c r="U51" s="527"/>
      <c r="V51" s="277"/>
      <c r="W51" s="277"/>
      <c r="X51" s="277"/>
      <c r="Y51" s="277"/>
      <c r="Z51" s="277"/>
      <c r="AA51" s="277"/>
      <c r="AB51" s="277"/>
      <c r="AC51" s="277"/>
      <c r="AD51" s="277"/>
      <c r="AE51" s="277"/>
      <c r="AF51" s="277"/>
      <c r="AG51" s="277"/>
      <c r="AH51" s="277"/>
      <c r="AI51" s="527"/>
      <c r="AJ51" s="527"/>
      <c r="AK51" s="277"/>
      <c r="AL51" s="277"/>
      <c r="AM51" s="277"/>
      <c r="AN51" s="277"/>
      <c r="AO51" s="277"/>
      <c r="AP51" s="277"/>
      <c r="AQ51" s="277"/>
      <c r="AR51" s="277"/>
      <c r="AS51" s="277"/>
      <c r="AT51" s="277"/>
      <c r="AU51" s="277"/>
      <c r="AV51" s="277"/>
      <c r="AW51" s="527"/>
      <c r="AX51" s="527"/>
      <c r="AY51" s="277"/>
      <c r="AZ51" s="277"/>
      <c r="BA51" s="277"/>
      <c r="BB51" s="277"/>
      <c r="BC51" s="277"/>
      <c r="BD51" s="277"/>
      <c r="BE51" s="277"/>
      <c r="BF51" s="277"/>
      <c r="BG51" s="277"/>
      <c r="BH51" s="277"/>
      <c r="BI51" s="277"/>
      <c r="BJ51" s="277"/>
      <c r="BK51" s="591"/>
      <c r="BL51" s="591"/>
      <c r="BM51" s="277"/>
      <c r="BN51" s="277"/>
      <c r="BO51" s="277"/>
      <c r="BP51" s="277"/>
      <c r="BQ51" s="277"/>
      <c r="BR51" s="277"/>
      <c r="BS51" s="277"/>
      <c r="BT51" s="277"/>
      <c r="BU51" s="277"/>
      <c r="BV51" s="277"/>
      <c r="BW51" s="277"/>
      <c r="BX51" s="277"/>
      <c r="BY51" s="278"/>
      <c r="BZ51" s="33"/>
      <c r="CA51" s="33"/>
      <c r="CB51" s="33"/>
      <c r="CC51" s="33"/>
      <c r="CD51" s="33"/>
    </row>
    <row r="52" spans="1:82" ht="14.5" x14ac:dyDescent="0.4">
      <c r="B52" s="30" t="s">
        <v>598</v>
      </c>
      <c r="H52" s="277"/>
      <c r="I52" s="277"/>
      <c r="J52" s="277"/>
      <c r="K52" s="277"/>
      <c r="L52" s="277"/>
      <c r="M52" s="277"/>
      <c r="N52" s="277"/>
      <c r="O52" s="277"/>
      <c r="P52" s="277"/>
      <c r="Q52" s="277"/>
      <c r="R52" s="277"/>
      <c r="S52" s="277">
        <f>S50-S49</f>
        <v>2731.7652256278088</v>
      </c>
      <c r="T52" s="527"/>
      <c r="U52" s="527"/>
      <c r="V52" s="277"/>
      <c r="W52" s="277"/>
      <c r="X52" s="277"/>
      <c r="Y52" s="277"/>
      <c r="Z52" s="277"/>
      <c r="AA52" s="277">
        <f>AA50-AA49</f>
        <v>-51923.554428052157</v>
      </c>
      <c r="AB52" s="277"/>
      <c r="AC52" s="277"/>
      <c r="AD52" s="277"/>
      <c r="AE52" s="277"/>
      <c r="AF52" s="277"/>
      <c r="AG52" s="277"/>
      <c r="AH52" s="277"/>
      <c r="AI52" s="527">
        <f>SUM(Y48:AH48)</f>
        <v>-986749.38785594073</v>
      </c>
      <c r="AJ52" s="527"/>
      <c r="AK52" s="277"/>
      <c r="AL52" s="277"/>
      <c r="AM52" s="277"/>
      <c r="AN52" s="277"/>
      <c r="AO52" s="277"/>
      <c r="AP52" s="277"/>
      <c r="AQ52" s="277"/>
      <c r="AR52" s="277"/>
      <c r="AS52" s="277"/>
      <c r="AT52" s="277"/>
      <c r="AU52" s="277"/>
      <c r="AV52" s="277"/>
      <c r="AW52" s="527"/>
      <c r="AX52" s="527"/>
      <c r="AY52" s="277"/>
      <c r="AZ52" s="277"/>
      <c r="BA52" s="277"/>
      <c r="BB52" s="277"/>
      <c r="BC52" s="277"/>
      <c r="BD52" s="277"/>
      <c r="BE52" s="277"/>
      <c r="BF52" s="277"/>
      <c r="BG52" s="277"/>
      <c r="BH52" s="277"/>
      <c r="BI52" s="277"/>
      <c r="BJ52" s="277"/>
      <c r="BK52" s="591"/>
      <c r="BL52" s="591"/>
      <c r="BM52" s="277"/>
      <c r="BN52" s="277"/>
      <c r="BO52" s="277"/>
      <c r="BP52" s="277"/>
      <c r="BQ52" s="277"/>
      <c r="BR52" s="277"/>
      <c r="BS52" s="277"/>
      <c r="BT52" s="277"/>
      <c r="BU52" s="277"/>
      <c r="BV52" s="277"/>
      <c r="BW52" s="277"/>
      <c r="BX52" s="277"/>
      <c r="BY52" s="278"/>
      <c r="BZ52" s="33"/>
      <c r="CA52" s="33"/>
      <c r="CB52" s="33"/>
      <c r="CC52" s="33"/>
      <c r="CD52" s="33"/>
    </row>
    <row r="53" spans="1:82" ht="14.5" x14ac:dyDescent="0.4">
      <c r="A53" s="591"/>
      <c r="B53" s="27" t="s">
        <v>599</v>
      </c>
      <c r="C53" s="27"/>
      <c r="D53" s="27"/>
      <c r="E53" s="27"/>
      <c r="F53" s="2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277"/>
      <c r="AD53" s="277"/>
      <c r="AE53" s="277"/>
      <c r="AF53" s="277"/>
      <c r="AG53" s="277"/>
      <c r="AH53" s="277"/>
      <c r="AI53" s="527"/>
      <c r="AJ53" s="527"/>
      <c r="AK53" s="277"/>
      <c r="AL53" s="277"/>
      <c r="AM53" s="277"/>
      <c r="AN53" s="277"/>
      <c r="AO53" s="277"/>
      <c r="AP53" s="277"/>
      <c r="AQ53" s="277"/>
      <c r="AR53" s="277"/>
      <c r="AS53" s="277"/>
      <c r="AT53" s="277"/>
      <c r="AU53" s="277"/>
      <c r="AV53" s="277"/>
      <c r="AW53" s="527"/>
      <c r="AX53" s="527"/>
      <c r="AY53" s="277"/>
      <c r="AZ53" s="277"/>
      <c r="BA53" s="277"/>
      <c r="BB53" s="277"/>
      <c r="BC53" s="277"/>
      <c r="BD53" s="277"/>
      <c r="BE53" s="277"/>
      <c r="BF53" s="277"/>
      <c r="BG53" s="277"/>
      <c r="BH53" s="277"/>
      <c r="BI53" s="277"/>
      <c r="BJ53" s="277"/>
      <c r="BK53" s="591"/>
      <c r="BL53" s="591"/>
      <c r="BM53" s="277"/>
      <c r="BN53" s="277"/>
      <c r="BO53" s="277"/>
      <c r="BP53" s="277"/>
      <c r="BQ53" s="277"/>
      <c r="BR53" s="277"/>
      <c r="BS53" s="277"/>
      <c r="BT53" s="277"/>
      <c r="BU53" s="277"/>
      <c r="BV53" s="277"/>
      <c r="BW53" s="277"/>
      <c r="BX53" s="277"/>
      <c r="BY53" s="278"/>
      <c r="BZ53" s="33"/>
      <c r="CA53" s="33"/>
      <c r="CB53" s="33"/>
      <c r="CC53" s="33"/>
      <c r="CD53" s="33"/>
    </row>
    <row r="54" spans="1:82" ht="14.5" x14ac:dyDescent="0.4">
      <c r="A54" s="591"/>
      <c r="B54" s="639" t="s">
        <v>366</v>
      </c>
      <c r="H54" s="277"/>
      <c r="I54" s="277"/>
      <c r="J54" s="277"/>
      <c r="K54" s="277"/>
      <c r="L54" s="277"/>
      <c r="M54" s="277"/>
      <c r="N54" s="277"/>
      <c r="O54" s="277"/>
      <c r="P54" s="277"/>
      <c r="Q54" s="277"/>
      <c r="R54" s="277"/>
      <c r="S54" s="277"/>
      <c r="T54" s="527"/>
      <c r="U54" s="527"/>
      <c r="V54" s="277"/>
      <c r="W54" s="277"/>
      <c r="X54" s="277"/>
      <c r="Y54" s="277"/>
      <c r="Z54" s="277"/>
      <c r="AA54" s="277"/>
      <c r="AB54" s="277"/>
      <c r="AC54" s="277"/>
      <c r="AD54" s="277"/>
      <c r="AE54" s="277"/>
      <c r="AF54" s="277"/>
      <c r="AG54" s="277"/>
      <c r="AH54" s="277"/>
      <c r="AI54" s="527"/>
      <c r="AJ54" s="527"/>
      <c r="AK54" s="277"/>
      <c r="AL54" s="277"/>
      <c r="AM54" s="277"/>
      <c r="AN54" s="277"/>
      <c r="AO54" s="277"/>
      <c r="AP54" s="277"/>
      <c r="AQ54" s="277"/>
      <c r="AR54" s="277"/>
      <c r="AS54" s="277"/>
      <c r="AT54" s="277"/>
      <c r="AU54" s="277"/>
      <c r="AV54" s="277"/>
      <c r="AW54" s="527"/>
      <c r="AX54" s="527"/>
      <c r="AY54" s="277"/>
      <c r="AZ54" s="277"/>
      <c r="BA54" s="277"/>
      <c r="BB54" s="277"/>
      <c r="BC54" s="277"/>
      <c r="BD54" s="277"/>
      <c r="BE54" s="277"/>
      <c r="BF54" s="277"/>
      <c r="BG54" s="277"/>
      <c r="BH54" s="277"/>
      <c r="BI54" s="277"/>
      <c r="BJ54" s="277"/>
      <c r="BK54" s="591"/>
      <c r="BL54" s="591"/>
      <c r="BM54" s="277"/>
      <c r="BN54" s="277"/>
      <c r="BO54" s="277"/>
      <c r="BP54" s="277"/>
      <c r="BQ54" s="277"/>
      <c r="BR54" s="277"/>
      <c r="BS54" s="277"/>
      <c r="BT54" s="277"/>
      <c r="BU54" s="277"/>
      <c r="BV54" s="277"/>
      <c r="BW54" s="277"/>
      <c r="BX54" s="277"/>
      <c r="BY54" s="278"/>
      <c r="BZ54" s="33"/>
      <c r="CA54" s="33"/>
      <c r="CB54" s="33"/>
      <c r="CC54" s="33"/>
      <c r="CD54" s="33"/>
    </row>
    <row r="55" spans="1:82" ht="14.5" x14ac:dyDescent="0.4">
      <c r="H55" s="277"/>
      <c r="I55" s="277"/>
      <c r="J55" s="277"/>
      <c r="K55" s="277"/>
      <c r="L55" s="277"/>
      <c r="M55" s="277"/>
      <c r="N55" s="277"/>
      <c r="O55" s="277"/>
      <c r="P55" s="277"/>
      <c r="Q55" s="277"/>
      <c r="R55" s="277"/>
      <c r="S55" s="277"/>
      <c r="T55" s="527">
        <f>+T26+T27</f>
        <v>91175.585638961056</v>
      </c>
      <c r="U55" s="527"/>
      <c r="V55" s="277"/>
      <c r="W55" s="277"/>
      <c r="X55" s="277"/>
      <c r="Y55" s="277"/>
      <c r="Z55" s="277"/>
      <c r="AA55" s="277"/>
      <c r="AB55" s="277"/>
      <c r="AC55" s="277"/>
      <c r="AD55" s="277"/>
      <c r="AE55" s="277"/>
      <c r="AF55" s="277"/>
      <c r="AG55" s="277"/>
      <c r="AH55" s="277"/>
      <c r="AI55" s="527"/>
      <c r="AJ55" s="527"/>
      <c r="AK55" s="277"/>
      <c r="AL55" s="277"/>
      <c r="AM55" s="277"/>
      <c r="AN55" s="277"/>
      <c r="AO55" s="277"/>
      <c r="AP55" s="277"/>
      <c r="AQ55" s="277"/>
      <c r="AR55" s="277"/>
      <c r="AS55" s="277"/>
      <c r="AT55" s="277"/>
      <c r="AU55" s="277"/>
      <c r="AV55" s="277"/>
      <c r="AW55" s="527"/>
      <c r="AX55" s="527"/>
      <c r="AY55" s="277"/>
      <c r="AZ55" s="277"/>
      <c r="BA55" s="277"/>
      <c r="BB55" s="277"/>
      <c r="BC55" s="277"/>
      <c r="BD55" s="277"/>
      <c r="BE55" s="277"/>
      <c r="BF55" s="277"/>
      <c r="BG55" s="277"/>
      <c r="BH55" s="277"/>
      <c r="BI55" s="277"/>
      <c r="BJ55" s="277"/>
      <c r="BK55" s="591"/>
      <c r="BL55" s="591"/>
      <c r="BM55" s="277"/>
      <c r="BN55" s="277"/>
      <c r="BO55" s="277"/>
      <c r="BP55" s="277"/>
      <c r="BQ55" s="277"/>
      <c r="BR55" s="277"/>
      <c r="BS55" s="277"/>
      <c r="BT55" s="277"/>
      <c r="BU55" s="277"/>
      <c r="BV55" s="277"/>
      <c r="BW55" s="277"/>
      <c r="BX55" s="277"/>
      <c r="BY55" s="278"/>
      <c r="BZ55" s="33"/>
      <c r="CA55" s="33"/>
      <c r="CB55" s="33"/>
      <c r="CC55" s="33"/>
      <c r="CD55" s="33"/>
    </row>
    <row r="56" spans="1:82" ht="14.5" x14ac:dyDescent="0.4">
      <c r="H56" s="277"/>
      <c r="I56" s="277"/>
      <c r="J56" s="277"/>
      <c r="K56" s="277"/>
      <c r="L56" s="277"/>
      <c r="M56" s="277"/>
      <c r="N56" s="277"/>
      <c r="O56" s="277"/>
      <c r="P56" s="277"/>
      <c r="Q56" s="277"/>
      <c r="R56" s="277"/>
      <c r="S56" s="277"/>
      <c r="T56" s="527"/>
      <c r="U56" s="527"/>
      <c r="V56" s="277"/>
      <c r="W56" s="277"/>
      <c r="X56" s="277"/>
      <c r="Y56" s="277"/>
      <c r="Z56" s="277"/>
      <c r="AA56" s="277"/>
      <c r="AB56" s="277"/>
      <c r="AC56" s="277"/>
      <c r="AD56" s="277"/>
      <c r="AE56" s="277"/>
      <c r="AF56" s="277"/>
      <c r="AG56" s="277"/>
      <c r="AH56" s="277"/>
      <c r="AI56" s="527"/>
      <c r="AJ56" s="527"/>
      <c r="AK56" s="277"/>
      <c r="AL56" s="277"/>
      <c r="AM56" s="277"/>
      <c r="AN56" s="277"/>
      <c r="AO56" s="277"/>
      <c r="AP56" s="277"/>
      <c r="AQ56" s="277"/>
      <c r="AR56" s="277"/>
      <c r="AS56" s="277"/>
      <c r="AT56" s="277"/>
      <c r="AU56" s="277"/>
      <c r="AV56" s="277"/>
      <c r="AW56" s="527"/>
      <c r="AX56" s="527"/>
      <c r="AY56" s="277"/>
      <c r="AZ56" s="277"/>
      <c r="BA56" s="277"/>
      <c r="BB56" s="277"/>
      <c r="BC56" s="277"/>
      <c r="BD56" s="277"/>
      <c r="BE56" s="277"/>
      <c r="BF56" s="277"/>
      <c r="BG56" s="277"/>
      <c r="BH56" s="277"/>
      <c r="BI56" s="277"/>
      <c r="BJ56" s="277"/>
      <c r="BK56" s="278"/>
      <c r="BL56" s="278"/>
      <c r="BM56" s="277"/>
      <c r="BN56" s="277"/>
      <c r="BO56" s="277"/>
      <c r="BP56" s="277"/>
      <c r="BQ56" s="277"/>
      <c r="BR56" s="277"/>
      <c r="BS56" s="277"/>
      <c r="BT56" s="277"/>
      <c r="BU56" s="277"/>
      <c r="BV56" s="277"/>
      <c r="BW56" s="277"/>
      <c r="BX56" s="277"/>
      <c r="BY56" s="278"/>
    </row>
  </sheetData>
  <mergeCells count="5">
    <mergeCell ref="H1:S1"/>
    <mergeCell ref="V1:AH1"/>
    <mergeCell ref="AK1:AV1"/>
    <mergeCell ref="AY1:BJ1"/>
    <mergeCell ref="BM1:BX1"/>
  </mergeCells>
  <pageMargins left="0.31527777777777799" right="0.31527777777777799" top="0.78749999999999998" bottom="0.78749999999999998" header="0.511811023622047" footer="0.511811023622047"/>
  <pageSetup paperSize="9" scale="22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76"/>
  <sheetViews>
    <sheetView showGridLines="0" tabSelected="1" view="pageLayout" topLeftCell="A31" zoomScale="75" zoomScaleNormal="100" zoomScaleSheetLayoutView="75" zoomScalePageLayoutView="75" workbookViewId="0">
      <selection activeCell="L37" sqref="L37"/>
    </sheetView>
  </sheetViews>
  <sheetFormatPr baseColWidth="10" defaultColWidth="10.54296875" defaultRowHeight="14.25" customHeight="1" x14ac:dyDescent="0.35"/>
  <cols>
    <col min="1" max="1" width="5.1796875" style="640" customWidth="1"/>
    <col min="2" max="2" width="12.7265625" style="640" customWidth="1"/>
    <col min="3" max="3" width="27" style="640" customWidth="1"/>
    <col min="4" max="4" width="16.7265625" style="640" customWidth="1"/>
    <col min="5" max="5" width="4.26953125" style="640" customWidth="1"/>
    <col min="6" max="12" width="16.7265625" style="640" customWidth="1"/>
    <col min="13" max="16384" width="10.54296875" style="640"/>
  </cols>
  <sheetData>
    <row r="1" spans="1:12" ht="14.5" x14ac:dyDescent="0.35">
      <c r="A1" s="642" t="s">
        <v>600</v>
      </c>
      <c r="D1" s="643" t="s">
        <v>601</v>
      </c>
      <c r="E1" s="644"/>
      <c r="F1" s="643" t="s">
        <v>602</v>
      </c>
      <c r="G1" s="643" t="s">
        <v>603</v>
      </c>
      <c r="H1" s="643" t="s">
        <v>604</v>
      </c>
      <c r="I1" s="643" t="s">
        <v>605</v>
      </c>
      <c r="J1" s="643" t="s">
        <v>606</v>
      </c>
      <c r="K1" s="643" t="s">
        <v>848</v>
      </c>
      <c r="L1" s="643" t="s">
        <v>849</v>
      </c>
    </row>
    <row r="2" spans="1:12" ht="14.5" x14ac:dyDescent="0.35">
      <c r="A2" s="642"/>
      <c r="D2" s="643">
        <v>2023</v>
      </c>
      <c r="E2" s="644"/>
      <c r="F2" s="643">
        <v>2024</v>
      </c>
      <c r="G2" s="643">
        <v>2025</v>
      </c>
      <c r="H2" s="643">
        <v>2026</v>
      </c>
      <c r="I2" s="643">
        <v>2027</v>
      </c>
      <c r="J2" s="643">
        <v>2028</v>
      </c>
      <c r="K2" s="643">
        <v>2029</v>
      </c>
      <c r="L2" s="643">
        <v>2030</v>
      </c>
    </row>
    <row r="3" spans="1:12" ht="14.5" x14ac:dyDescent="0.35">
      <c r="D3" s="643" t="s">
        <v>607</v>
      </c>
      <c r="E3" s="644"/>
      <c r="F3" s="643" t="s">
        <v>607</v>
      </c>
      <c r="G3" s="643" t="s">
        <v>607</v>
      </c>
      <c r="H3" s="643" t="s">
        <v>607</v>
      </c>
      <c r="I3" s="643" t="s">
        <v>607</v>
      </c>
      <c r="J3" s="643" t="s">
        <v>607</v>
      </c>
      <c r="K3" s="643" t="s">
        <v>607</v>
      </c>
      <c r="L3" s="643" t="s">
        <v>607</v>
      </c>
    </row>
    <row r="4" spans="1:12" ht="14.5" x14ac:dyDescent="0.35">
      <c r="D4" s="645">
        <v>45322</v>
      </c>
      <c r="E4" s="646"/>
      <c r="F4" s="645">
        <v>45688</v>
      </c>
      <c r="G4" s="645">
        <v>46053</v>
      </c>
      <c r="H4" s="645">
        <v>46418</v>
      </c>
      <c r="I4" s="645">
        <v>46783</v>
      </c>
      <c r="J4" s="645">
        <v>47149</v>
      </c>
      <c r="K4" s="645">
        <v>47149</v>
      </c>
      <c r="L4" s="645">
        <v>47149</v>
      </c>
    </row>
    <row r="5" spans="1:12" ht="6" customHeight="1" x14ac:dyDescent="0.35">
      <c r="A5" s="647"/>
      <c r="B5" s="647"/>
      <c r="C5" s="647"/>
      <c r="D5" s="647"/>
      <c r="E5" s="648"/>
      <c r="F5" s="647"/>
      <c r="G5" s="647"/>
      <c r="H5" s="647"/>
      <c r="I5" s="647"/>
      <c r="J5" s="647"/>
      <c r="K5" s="647"/>
      <c r="L5" s="647"/>
    </row>
    <row r="6" spans="1:12" ht="14.5" x14ac:dyDescent="0.35">
      <c r="E6" s="649"/>
    </row>
    <row r="7" spans="1:12" ht="14.5" x14ac:dyDescent="0.35">
      <c r="A7" s="640" t="s">
        <v>608</v>
      </c>
      <c r="E7" s="649"/>
    </row>
    <row r="8" spans="1:12" ht="14.5" x14ac:dyDescent="0.35">
      <c r="B8" s="640" t="s">
        <v>609</v>
      </c>
      <c r="E8" s="649"/>
      <c r="F8" s="650">
        <f>+AV!J9</f>
        <v>12330</v>
      </c>
      <c r="G8" s="650">
        <f>+AV!L38</f>
        <v>71915</v>
      </c>
      <c r="H8" s="650">
        <f>+AV!L78</f>
        <v>55325</v>
      </c>
      <c r="I8" s="650">
        <f>+AV!L125</f>
        <v>38735</v>
      </c>
      <c r="J8" s="650">
        <f>+AV!L171</f>
        <v>22145</v>
      </c>
      <c r="K8" s="650">
        <f>AV!L219</f>
        <v>6925</v>
      </c>
      <c r="L8" s="650">
        <f>AV!L267</f>
        <v>0</v>
      </c>
    </row>
    <row r="9" spans="1:12" ht="14.5" x14ac:dyDescent="0.35">
      <c r="B9" s="640" t="s">
        <v>831</v>
      </c>
      <c r="E9" s="649"/>
      <c r="F9" s="650">
        <f>+AV!J12</f>
        <v>35664.71</v>
      </c>
      <c r="G9" s="650">
        <f>+AV!L44</f>
        <v>941764.09600000002</v>
      </c>
      <c r="H9" s="650">
        <f>+AV!L84</f>
        <v>876814.848</v>
      </c>
      <c r="I9" s="650">
        <f>+AV!L131</f>
        <v>811865.60000000009</v>
      </c>
      <c r="J9" s="650">
        <f>+AV!L177</f>
        <v>746916.35200000007</v>
      </c>
      <c r="K9" s="650">
        <f>AV!L225</f>
        <v>681967.10400000017</v>
      </c>
      <c r="L9" s="650">
        <f>AV!L273</f>
        <v>617017.85600000015</v>
      </c>
    </row>
    <row r="10" spans="1:12" ht="14.5" x14ac:dyDescent="0.35">
      <c r="B10" s="640" t="s">
        <v>610</v>
      </c>
      <c r="D10" s="640" t="s">
        <v>546</v>
      </c>
      <c r="E10" s="649"/>
      <c r="F10" s="655">
        <f>+AV!J15</f>
        <v>1719.5</v>
      </c>
      <c r="G10" s="655">
        <f>+AV!L50</f>
        <v>35510.050000000003</v>
      </c>
      <c r="H10" s="655">
        <f>+AV!L93</f>
        <v>36323.050000000003</v>
      </c>
      <c r="I10" s="655">
        <f>+AV!L140</f>
        <v>32059.383333333331</v>
      </c>
      <c r="J10" s="655">
        <f>+AV!L186</f>
        <v>27795.716666666667</v>
      </c>
      <c r="K10" s="655">
        <f>AV!L234</f>
        <v>23532.05</v>
      </c>
      <c r="L10" s="655">
        <f>AV!L282</f>
        <v>19268.383333333331</v>
      </c>
    </row>
    <row r="11" spans="1:12" ht="14.5" x14ac:dyDescent="0.35">
      <c r="A11" s="652" t="s">
        <v>611</v>
      </c>
      <c r="B11" s="652"/>
      <c r="C11" s="652"/>
      <c r="D11" s="653">
        <f>SUM(D8:D10)</f>
        <v>0</v>
      </c>
      <c r="E11" s="649"/>
      <c r="F11" s="654">
        <f>SUM(F8:F10)</f>
        <v>49714.21</v>
      </c>
      <c r="G11" s="654">
        <f>AV!J63</f>
        <v>1049189.1460000002</v>
      </c>
      <c r="H11" s="654">
        <f>AV!J110</f>
        <v>968462.89800000004</v>
      </c>
      <c r="I11" s="654">
        <f>AV!J156</f>
        <v>882659.98333333351</v>
      </c>
      <c r="J11" s="654">
        <f>AV!J202</f>
        <v>796857.06866666675</v>
      </c>
      <c r="K11" s="654">
        <f>AV!J250</f>
        <v>712424.15400000021</v>
      </c>
      <c r="L11" s="654">
        <f>AV!J298</f>
        <v>636286.23933333356</v>
      </c>
    </row>
    <row r="12" spans="1:12" ht="14.5" x14ac:dyDescent="0.35">
      <c r="E12" s="649"/>
    </row>
    <row r="13" spans="1:12" ht="14.5" x14ac:dyDescent="0.35">
      <c r="A13" s="640" t="s">
        <v>612</v>
      </c>
      <c r="E13" s="649"/>
    </row>
    <row r="14" spans="1:12" ht="14.5" x14ac:dyDescent="0.35">
      <c r="B14" s="640" t="s">
        <v>613</v>
      </c>
      <c r="E14" s="649"/>
      <c r="F14" s="655">
        <v>0</v>
      </c>
      <c r="G14" s="655">
        <v>0</v>
      </c>
      <c r="H14" s="655">
        <v>0</v>
      </c>
      <c r="I14" s="655">
        <v>0</v>
      </c>
      <c r="J14" s="655">
        <v>0</v>
      </c>
      <c r="K14" s="655">
        <v>0</v>
      </c>
      <c r="L14" s="655">
        <v>0</v>
      </c>
    </row>
    <row r="15" spans="1:12" ht="14.5" x14ac:dyDescent="0.35">
      <c r="B15" s="640" t="s">
        <v>614</v>
      </c>
      <c r="E15" s="649"/>
      <c r="F15" s="650">
        <f>+Mitgl!S19</f>
        <v>0</v>
      </c>
      <c r="G15" s="650">
        <f>+Mitgl!AG19</f>
        <v>107968.84952202717</v>
      </c>
      <c r="H15" s="650">
        <f>+Mitgl!AU19</f>
        <v>113565.55152788349</v>
      </c>
      <c r="I15" s="650">
        <f>+Mitgl!BI19</f>
        <v>117020.94247368923</v>
      </c>
      <c r="J15" s="650">
        <f>+Mitgl!BW19</f>
        <v>118435.92727543823</v>
      </c>
      <c r="K15" s="650">
        <f>Mitgl!CK19</f>
        <v>120417.75145229413</v>
      </c>
      <c r="L15" s="650">
        <f>Mitgl!CY19</f>
        <v>122442.3543298275</v>
      </c>
    </row>
    <row r="16" spans="1:12" ht="14.5" x14ac:dyDescent="0.35">
      <c r="B16" s="640" t="s">
        <v>615</v>
      </c>
      <c r="D16" s="656">
        <f>+Saldenlisten24_25!C15</f>
        <v>3965.33</v>
      </c>
      <c r="E16" s="649"/>
      <c r="F16" s="655">
        <f>+Saldenlisten24_25!F15</f>
        <v>95840</v>
      </c>
      <c r="G16" s="655">
        <v>0</v>
      </c>
      <c r="H16" s="655">
        <v>0</v>
      </c>
      <c r="I16" s="655">
        <v>0</v>
      </c>
      <c r="J16" s="655">
        <v>0</v>
      </c>
      <c r="K16" s="655">
        <v>0</v>
      </c>
      <c r="L16" s="655">
        <v>0</v>
      </c>
    </row>
    <row r="17" spans="1:12" ht="14.5" x14ac:dyDescent="0.35">
      <c r="B17" s="640" t="s">
        <v>616</v>
      </c>
      <c r="D17" s="656">
        <f>+Saldenlisten24_25!C17+Saldenlisten24_25!C19+Saldenlisten24_25!C36+Saldenlisten24_25!C37</f>
        <v>21009.25</v>
      </c>
      <c r="E17" s="649"/>
      <c r="F17" s="650">
        <f>+Saldenlisten24_25!H17</f>
        <v>55859.72</v>
      </c>
      <c r="G17" s="655"/>
      <c r="H17" s="655"/>
      <c r="I17" s="655"/>
      <c r="J17" s="655"/>
      <c r="K17" s="655"/>
      <c r="L17" s="655"/>
    </row>
    <row r="18" spans="1:12" ht="14.5" x14ac:dyDescent="0.35">
      <c r="B18" s="640" t="s">
        <v>617</v>
      </c>
      <c r="E18" s="649"/>
    </row>
    <row r="19" spans="1:12" ht="14.5" x14ac:dyDescent="0.35">
      <c r="B19" s="640" t="s">
        <v>618</v>
      </c>
      <c r="D19" s="657">
        <f>+Saldenlisten24_25!C20+Saldenlisten24_25!C24</f>
        <v>441158.38999999996</v>
      </c>
      <c r="E19" s="649"/>
      <c r="F19" s="655">
        <f>+Saldenlisten24_25!H20</f>
        <v>603925.02</v>
      </c>
      <c r="G19" s="1018">
        <f t="shared" ref="G19:L19" si="0">-G56</f>
        <v>-182122.05186206661</v>
      </c>
      <c r="H19" s="1018">
        <f t="shared" si="0"/>
        <v>-206793.84930557851</v>
      </c>
      <c r="I19" s="1018">
        <f t="shared" si="0"/>
        <v>-248643.55663707189</v>
      </c>
      <c r="J19" s="1018">
        <f t="shared" si="0"/>
        <v>-248717.39657267486</v>
      </c>
      <c r="K19" s="1018">
        <f t="shared" si="0"/>
        <v>-258389.77309429005</v>
      </c>
      <c r="L19" s="1018">
        <f t="shared" si="0"/>
        <v>-187244.54009910556</v>
      </c>
    </row>
    <row r="20" spans="1:12" ht="14.5" x14ac:dyDescent="0.35">
      <c r="A20" s="652" t="s">
        <v>619</v>
      </c>
      <c r="B20" s="652"/>
      <c r="C20" s="652"/>
      <c r="D20" s="653">
        <f>SUM(D14:D19)</f>
        <v>466132.97</v>
      </c>
      <c r="E20" s="649"/>
      <c r="F20" s="654">
        <f t="shared" ref="F20:L20" si="1">SUM(F15:F19)</f>
        <v>755624.74</v>
      </c>
      <c r="G20" s="654">
        <f t="shared" si="1"/>
        <v>-74153.202340039439</v>
      </c>
      <c r="H20" s="654">
        <f t="shared" si="1"/>
        <v>-93228.297777695014</v>
      </c>
      <c r="I20" s="654">
        <f t="shared" si="1"/>
        <v>-131622.61416338268</v>
      </c>
      <c r="J20" s="654">
        <f t="shared" si="1"/>
        <v>-130281.46929723663</v>
      </c>
      <c r="K20" s="654">
        <f t="shared" si="1"/>
        <v>-137972.02164199593</v>
      </c>
      <c r="L20" s="654">
        <f t="shared" si="1"/>
        <v>-64802.185769278061</v>
      </c>
    </row>
    <row r="21" spans="1:12" ht="14.5" x14ac:dyDescent="0.35">
      <c r="D21" s="651"/>
      <c r="E21" s="649"/>
    </row>
    <row r="22" spans="1:12" ht="14.5" x14ac:dyDescent="0.35">
      <c r="A22" s="652" t="s">
        <v>620</v>
      </c>
      <c r="B22" s="652"/>
      <c r="C22" s="652"/>
      <c r="D22" s="653">
        <f>+Saldenlisten24_25!C27</f>
        <v>6995.35</v>
      </c>
      <c r="E22" s="649"/>
      <c r="F22" s="654">
        <f>+Saldenlisten24_25!F27</f>
        <v>2024</v>
      </c>
      <c r="G22" s="654"/>
      <c r="H22" s="654"/>
      <c r="I22" s="654"/>
      <c r="J22" s="654"/>
      <c r="K22" s="654"/>
      <c r="L22" s="654"/>
    </row>
    <row r="23" spans="1:12" ht="14.5" x14ac:dyDescent="0.35">
      <c r="E23" s="649"/>
    </row>
    <row r="24" spans="1:12" ht="14.5" x14ac:dyDescent="0.35">
      <c r="A24" s="658" t="s">
        <v>621</v>
      </c>
      <c r="B24" s="658"/>
      <c r="C24" s="658"/>
      <c r="D24" s="659">
        <f>+D11+D20+D22</f>
        <v>473128.31999999995</v>
      </c>
      <c r="E24" s="649"/>
      <c r="F24" s="786">
        <f t="shared" ref="F24:L24" si="2">+F11+F20+F22</f>
        <v>807362.95</v>
      </c>
      <c r="G24" s="786">
        <f>+G11+G20+G22</f>
        <v>975035.94365996076</v>
      </c>
      <c r="H24" s="786">
        <f t="shared" si="2"/>
        <v>875234.60022230505</v>
      </c>
      <c r="I24" s="786">
        <f t="shared" si="2"/>
        <v>751037.36916995083</v>
      </c>
      <c r="J24" s="786">
        <f t="shared" si="2"/>
        <v>666575.5993694301</v>
      </c>
      <c r="K24" s="786">
        <f t="shared" si="2"/>
        <v>574452.13235800434</v>
      </c>
      <c r="L24" s="786">
        <f t="shared" si="2"/>
        <v>571484.05356405547</v>
      </c>
    </row>
    <row r="25" spans="1:12" ht="14.5" x14ac:dyDescent="0.35">
      <c r="E25" s="649"/>
    </row>
    <row r="26" spans="1:12" ht="14.5" x14ac:dyDescent="0.35">
      <c r="E26" s="649"/>
    </row>
    <row r="27" spans="1:12" ht="14.5" x14ac:dyDescent="0.35">
      <c r="A27" s="640" t="s">
        <v>622</v>
      </c>
      <c r="E27" s="649"/>
    </row>
    <row r="28" spans="1:12" ht="14.5" x14ac:dyDescent="0.35">
      <c r="B28" s="640" t="s">
        <v>623</v>
      </c>
      <c r="D28" s="657">
        <f>-Saldenlisten24_25!D120</f>
        <v>72220</v>
      </c>
      <c r="E28" s="649"/>
      <c r="F28" s="650">
        <f>-Saldenlisten24_25!G120</f>
        <v>155980</v>
      </c>
      <c r="G28" s="650">
        <f>+Mitgl!AG29</f>
        <v>230720</v>
      </c>
      <c r="H28" s="650">
        <f>+Mitgl!AU29</f>
        <v>358620</v>
      </c>
      <c r="I28" s="650">
        <f>+Mitgl!BI29</f>
        <v>463763.20799999998</v>
      </c>
      <c r="J28" s="650">
        <f>+Mitgl!BW29</f>
        <v>502252.31199999998</v>
      </c>
      <c r="K28" s="650">
        <f>Mitgl!CL29</f>
        <v>530656.31199999992</v>
      </c>
      <c r="L28" s="650">
        <f>Mitgl!CZ29</f>
        <v>559060.31199999992</v>
      </c>
    </row>
    <row r="29" spans="1:12" ht="14.25" customHeight="1" x14ac:dyDescent="0.35">
      <c r="E29" s="649"/>
    </row>
    <row r="30" spans="1:12" ht="14.5" x14ac:dyDescent="0.35">
      <c r="B30" s="640" t="s">
        <v>625</v>
      </c>
      <c r="E30" s="649"/>
    </row>
    <row r="31" spans="1:12" ht="14.5" x14ac:dyDescent="0.35">
      <c r="B31" s="640" t="s">
        <v>626</v>
      </c>
      <c r="E31" s="649"/>
      <c r="F31" s="640">
        <v>0</v>
      </c>
      <c r="G31" s="640">
        <v>0</v>
      </c>
      <c r="H31" s="640">
        <v>0</v>
      </c>
    </row>
    <row r="32" spans="1:12" ht="14.5" x14ac:dyDescent="0.35">
      <c r="B32" s="640" t="s">
        <v>850</v>
      </c>
      <c r="D32" s="651">
        <f>GV!C55</f>
        <v>-30676.560000000005</v>
      </c>
      <c r="E32" s="649"/>
      <c r="F32" s="655">
        <f>GV!D55</f>
        <v>-111688.51000000001</v>
      </c>
      <c r="G32" s="655">
        <f>GV!E55</f>
        <v>-311028.46040512651</v>
      </c>
      <c r="H32" s="655">
        <f>GV!F51</f>
        <v>-215875.16648368837</v>
      </c>
      <c r="I32" s="655">
        <f>GV!G51</f>
        <v>-95454.89260438754</v>
      </c>
      <c r="J32" s="655">
        <f>GV!H55</f>
        <v>2805.237947174166</v>
      </c>
      <c r="K32" s="655">
        <f>GV!I55</f>
        <v>36262.274759511623</v>
      </c>
      <c r="L32" s="655">
        <f>GV!J55</f>
        <v>94916.810127188684</v>
      </c>
    </row>
    <row r="33" spans="1:14" ht="14.5" x14ac:dyDescent="0.35">
      <c r="B33" s="640" t="s">
        <v>627</v>
      </c>
      <c r="E33" s="649"/>
      <c r="F33" s="655">
        <f>GV!D57</f>
        <v>-30676.560000000005</v>
      </c>
      <c r="G33" s="655">
        <f t="shared" ref="G33:L33" si="3">F34</f>
        <v>-142365.07</v>
      </c>
      <c r="H33" s="655">
        <f t="shared" si="3"/>
        <v>-453393.53040512651</v>
      </c>
      <c r="I33" s="655">
        <f t="shared" si="3"/>
        <v>-669268.69688881491</v>
      </c>
      <c r="J33" s="655">
        <f t="shared" si="3"/>
        <v>-764723.58949320251</v>
      </c>
      <c r="K33" s="655">
        <f t="shared" si="3"/>
        <v>-761918.3515460284</v>
      </c>
      <c r="L33" s="655">
        <f t="shared" si="3"/>
        <v>-725656.07678651682</v>
      </c>
    </row>
    <row r="34" spans="1:14" ht="14.5" x14ac:dyDescent="0.35">
      <c r="B34" s="640" t="s">
        <v>628</v>
      </c>
      <c r="E34" s="649"/>
      <c r="F34" s="655">
        <f>+GV!D58</f>
        <v>-142365.07</v>
      </c>
      <c r="G34" s="655">
        <f>+GV!E58</f>
        <v>-453393.53040512651</v>
      </c>
      <c r="H34" s="655">
        <f>+GV!F58</f>
        <v>-669268.69688881491</v>
      </c>
      <c r="I34" s="655">
        <f>+GV!G58</f>
        <v>-764723.58949320251</v>
      </c>
      <c r="J34" s="655">
        <f>+GV!H58</f>
        <v>-761918.3515460284</v>
      </c>
      <c r="K34" s="655">
        <f>GV!I58</f>
        <v>-725656.07678651682</v>
      </c>
      <c r="L34" s="655">
        <f>GV!J58</f>
        <v>-630739.26665932813</v>
      </c>
    </row>
    <row r="35" spans="1:14" ht="14.5" x14ac:dyDescent="0.35">
      <c r="A35" s="660" t="s">
        <v>629</v>
      </c>
      <c r="B35" s="660"/>
      <c r="C35" s="660"/>
      <c r="D35" s="661">
        <f>SUM(D28:D34)</f>
        <v>41543.439999999995</v>
      </c>
      <c r="E35" s="649"/>
      <c r="F35" s="662">
        <f>F28+F30+F34</f>
        <v>13614.929999999993</v>
      </c>
      <c r="G35" s="662">
        <f>G28+G30+G34</f>
        <v>-222673.53040512651</v>
      </c>
      <c r="H35" s="662">
        <f>H28+H30+H34</f>
        <v>-310648.69688881491</v>
      </c>
      <c r="I35" s="662">
        <f t="shared" ref="I35:L35" si="4">I28+I30+I34</f>
        <v>-300960.38149320253</v>
      </c>
      <c r="J35" s="662">
        <f>J28+J30+J34</f>
        <v>-259666.03954602842</v>
      </c>
      <c r="K35" s="662">
        <f t="shared" si="4"/>
        <v>-194999.7647865169</v>
      </c>
      <c r="L35" s="662">
        <f>L28+L30+L34</f>
        <v>-71678.954659328214</v>
      </c>
    </row>
    <row r="36" spans="1:14" ht="14.5" x14ac:dyDescent="0.35">
      <c r="E36" s="649"/>
    </row>
    <row r="37" spans="1:14" ht="14.5" x14ac:dyDescent="0.35">
      <c r="A37" s="660" t="s">
        <v>630</v>
      </c>
      <c r="B37" s="660"/>
      <c r="C37" s="660"/>
      <c r="D37" s="660"/>
      <c r="E37" s="649"/>
      <c r="F37" s="662">
        <f>-Saldenlisten24_25!H121</f>
        <v>135480</v>
      </c>
      <c r="G37" s="662">
        <f>+AV!V63</f>
        <v>133595</v>
      </c>
      <c r="H37" s="662">
        <f>+AV!V110</f>
        <v>148380</v>
      </c>
      <c r="I37" s="662">
        <f>+AV!V156</f>
        <v>131765</v>
      </c>
      <c r="J37" s="662">
        <f>+AV!V202</f>
        <v>115150</v>
      </c>
      <c r="K37" s="662">
        <f>AV!V250</f>
        <v>99850</v>
      </c>
      <c r="L37" s="662">
        <f>AV!V298</f>
        <v>89965</v>
      </c>
    </row>
    <row r="38" spans="1:14" ht="14.5" x14ac:dyDescent="0.35">
      <c r="E38" s="649"/>
    </row>
    <row r="39" spans="1:14" ht="14.5" x14ac:dyDescent="0.35">
      <c r="B39" s="640" t="s">
        <v>631</v>
      </c>
      <c r="D39" s="657">
        <f>-Saldenlisten24_25!D31</f>
        <v>2600</v>
      </c>
      <c r="E39" s="649"/>
      <c r="F39" s="651">
        <f>-Saldenlisten24_25!H31</f>
        <v>21239.360000000001</v>
      </c>
      <c r="G39" s="651"/>
      <c r="H39" s="651"/>
      <c r="I39" s="651"/>
      <c r="J39" s="651"/>
      <c r="K39" s="651"/>
      <c r="L39" s="651"/>
    </row>
    <row r="40" spans="1:14" ht="14.5" x14ac:dyDescent="0.35">
      <c r="A40" s="660" t="s">
        <v>632</v>
      </c>
      <c r="B40" s="660"/>
      <c r="C40" s="660"/>
      <c r="D40" s="663">
        <f>SUM(D39)</f>
        <v>2600</v>
      </c>
      <c r="E40" s="649"/>
      <c r="F40" s="661">
        <f t="shared" ref="F40:L40" si="5">+F39</f>
        <v>21239.360000000001</v>
      </c>
      <c r="G40" s="661">
        <f t="shared" si="5"/>
        <v>0</v>
      </c>
      <c r="H40" s="661">
        <f t="shared" si="5"/>
        <v>0</v>
      </c>
      <c r="I40" s="661">
        <f t="shared" si="5"/>
        <v>0</v>
      </c>
      <c r="J40" s="661">
        <f t="shared" si="5"/>
        <v>0</v>
      </c>
      <c r="K40" s="661">
        <f t="shared" si="5"/>
        <v>0</v>
      </c>
      <c r="L40" s="661">
        <f t="shared" si="5"/>
        <v>0</v>
      </c>
    </row>
    <row r="41" spans="1:14" ht="14.5" x14ac:dyDescent="0.35">
      <c r="E41" s="649"/>
    </row>
    <row r="42" spans="1:14" ht="14.5" x14ac:dyDescent="0.35">
      <c r="E42" s="649"/>
    </row>
    <row r="43" spans="1:14" ht="14.5" x14ac:dyDescent="0.35">
      <c r="B43" s="640" t="s">
        <v>633</v>
      </c>
      <c r="E43" s="649"/>
      <c r="F43" s="650">
        <f>+Finanz!S9+Finanz!S14</f>
        <v>0</v>
      </c>
      <c r="G43" s="650">
        <f>+Finanz!AJ9+Finanz!AJ14</f>
        <v>195560.93</v>
      </c>
      <c r="H43" s="650">
        <f>+Finanz!AX9+Finanz!AX14</f>
        <v>0</v>
      </c>
      <c r="I43" s="650">
        <f>+Finanz!BL9+Finanz!BL14</f>
        <v>0</v>
      </c>
      <c r="J43" s="650">
        <f>+Finanz!BW9+Finanz!BW14-Finanz!BW15</f>
        <v>0</v>
      </c>
      <c r="K43" s="650">
        <f>+Finanz!BX9+Finanz!BX14-Finanz!BX15</f>
        <v>0</v>
      </c>
      <c r="L43" s="650">
        <f>+Finanz!CA9+Finanz!CA14-Finanz!CA15</f>
        <v>0</v>
      </c>
    </row>
    <row r="44" spans="1:14" ht="14.5" x14ac:dyDescent="0.35">
      <c r="B44" s="640" t="s">
        <v>624</v>
      </c>
      <c r="D44" s="657">
        <f>-Saldenlisten24_25!D43</f>
        <v>423389</v>
      </c>
      <c r="E44" s="649"/>
      <c r="F44" s="650">
        <f>-Saldenlisten24_25!G43</f>
        <v>553789</v>
      </c>
      <c r="G44" s="650">
        <f>+Finanz!AG4</f>
        <v>903688</v>
      </c>
      <c r="H44" s="650">
        <f>+Finanz!AU4</f>
        <v>1063388</v>
      </c>
      <c r="I44" s="650">
        <f>+Finanz!BI4</f>
        <v>944288.54399999953</v>
      </c>
      <c r="J44" s="650">
        <f>+Finanz!BW4</f>
        <v>830973.91871999972</v>
      </c>
      <c r="K44" s="650">
        <f>Finanz!CK4</f>
        <v>693863.22213119955</v>
      </c>
      <c r="L44" s="650">
        <f>Finanz!CX4</f>
        <v>576890.5421311995</v>
      </c>
    </row>
    <row r="45" spans="1:14" ht="14.5" x14ac:dyDescent="0.35">
      <c r="B45" s="640" t="s">
        <v>634</v>
      </c>
      <c r="D45" s="657">
        <f>-Saldenlisten24_25!D33</f>
        <v>1612.84</v>
      </c>
      <c r="E45" s="649"/>
      <c r="F45" s="655">
        <f>-Saldenlisten24_25!G33</f>
        <v>28126.65</v>
      </c>
      <c r="G45" s="655"/>
      <c r="H45" s="655"/>
      <c r="I45" s="655"/>
      <c r="J45" s="655"/>
      <c r="K45" s="655"/>
      <c r="L45" s="655"/>
    </row>
    <row r="46" spans="1:14" ht="14.5" x14ac:dyDescent="0.35">
      <c r="B46" s="640" t="s">
        <v>635</v>
      </c>
      <c r="D46" s="651"/>
      <c r="E46" s="649"/>
      <c r="F46" s="655">
        <f>-Saldenlisten24_25!G47</f>
        <v>45230</v>
      </c>
      <c r="G46" s="655">
        <f>+Liqu!AI12</f>
        <v>-22727.272727272724</v>
      </c>
      <c r="H46" s="655">
        <f>Liqu!AW12</f>
        <v>-26727.272727272724</v>
      </c>
      <c r="I46" s="655">
        <f>+H46</f>
        <v>-26727.272727272724</v>
      </c>
      <c r="J46" s="655">
        <f>+I46</f>
        <v>-26727.272727272724</v>
      </c>
      <c r="K46" s="655">
        <f>+J46</f>
        <v>-26727.272727272724</v>
      </c>
      <c r="L46" s="655">
        <f>K46</f>
        <v>-26727.272727272724</v>
      </c>
      <c r="N46" s="640" t="s">
        <v>546</v>
      </c>
    </row>
    <row r="47" spans="1:14" ht="14.5" x14ac:dyDescent="0.35">
      <c r="B47" s="640" t="s">
        <v>636</v>
      </c>
      <c r="D47" s="657">
        <f>-(Saldenlisten24_25!D34+Saldenlisten24_25!D35+Saldenlisten24_25!D38+Saldenlisten24_25!D39+Saldenlisten24_25!D40)</f>
        <v>3983.04</v>
      </c>
      <c r="E47" s="649"/>
      <c r="F47" s="650">
        <f>-Saldenlisten24_25!H34</f>
        <v>9372.98</v>
      </c>
      <c r="G47" s="650">
        <f>+Liqu!AK35+Liqu!AL35</f>
        <v>-12407.183207639895</v>
      </c>
      <c r="H47" s="650">
        <f>Liqu!AY35+Liqu!AZ35</f>
        <v>842.56983839260647</v>
      </c>
      <c r="I47" s="650">
        <f>+Liqu!BM35+Liqu!BN35</f>
        <v>2671.4793904266407</v>
      </c>
      <c r="J47" s="650">
        <f>+Liqu!BW46+Liqu!BX46</f>
        <v>6844.9929227314533</v>
      </c>
      <c r="K47" s="650">
        <f>(Liqu!BZ45-Liqu!BZ44)/12</f>
        <v>2465.9477405943712</v>
      </c>
      <c r="L47" s="650">
        <f>(Liqu!CA45-Liqu!CA44)/12</f>
        <v>3034.7388194568971</v>
      </c>
    </row>
    <row r="48" spans="1:14" ht="14.5" x14ac:dyDescent="0.35">
      <c r="A48" s="660" t="s">
        <v>510</v>
      </c>
      <c r="B48" s="660"/>
      <c r="C48" s="660"/>
      <c r="D48" s="663">
        <f>SUM(D45:D47)</f>
        <v>5595.88</v>
      </c>
      <c r="E48" s="649"/>
      <c r="F48" s="662">
        <f t="shared" ref="F48:L48" si="6">SUM(F43:F47)</f>
        <v>636518.63</v>
      </c>
      <c r="G48" s="662">
        <f t="shared" si="6"/>
        <v>1064114.4740650873</v>
      </c>
      <c r="H48" s="662">
        <f t="shared" si="6"/>
        <v>1037503.2971111198</v>
      </c>
      <c r="I48" s="662">
        <f t="shared" si="6"/>
        <v>920232.75066315348</v>
      </c>
      <c r="J48" s="662">
        <f t="shared" si="6"/>
        <v>811091.63891545846</v>
      </c>
      <c r="K48" s="662">
        <f t="shared" si="6"/>
        <v>669601.89714452124</v>
      </c>
      <c r="L48" s="662">
        <f t="shared" si="6"/>
        <v>553198.00822338369</v>
      </c>
    </row>
    <row r="49" spans="1:12" ht="14.5" x14ac:dyDescent="0.35">
      <c r="E49" s="649"/>
    </row>
    <row r="50" spans="1:12" ht="14.5" x14ac:dyDescent="0.35">
      <c r="A50" s="660" t="s">
        <v>637</v>
      </c>
      <c r="B50" s="660"/>
      <c r="C50" s="660"/>
      <c r="D50" s="660"/>
      <c r="E50" s="649"/>
      <c r="F50" s="661">
        <f>-Saldenlisten24_25!G46</f>
        <v>510</v>
      </c>
      <c r="G50" s="660"/>
      <c r="H50" s="660"/>
      <c r="I50" s="660"/>
      <c r="J50" s="660"/>
      <c r="K50" s="660"/>
      <c r="L50" s="660"/>
    </row>
    <row r="51" spans="1:12" ht="14.5" x14ac:dyDescent="0.35">
      <c r="E51" s="649"/>
    </row>
    <row r="52" spans="1:12" ht="14.5" x14ac:dyDescent="0.35">
      <c r="A52" s="1022" t="s">
        <v>638</v>
      </c>
      <c r="B52" s="1022"/>
      <c r="C52" s="1022"/>
      <c r="D52" s="1023">
        <f>+D35+D37+D40+D48+D50</f>
        <v>49739.319999999992</v>
      </c>
      <c r="E52" s="1022"/>
      <c r="F52" s="1024">
        <f t="shared" ref="F52:L52" si="7">F35+F37+F40+F48+F50</f>
        <v>807362.91999999993</v>
      </c>
      <c r="G52" s="1024">
        <f>G35+G37+G40+G48+G50</f>
        <v>975035.94365996076</v>
      </c>
      <c r="H52" s="1024">
        <f t="shared" si="7"/>
        <v>875234.60022230493</v>
      </c>
      <c r="I52" s="1024">
        <f t="shared" si="7"/>
        <v>751037.36916995095</v>
      </c>
      <c r="J52" s="1024">
        <f t="shared" si="7"/>
        <v>666575.59936942998</v>
      </c>
      <c r="K52" s="1024">
        <f t="shared" si="7"/>
        <v>574452.13235800434</v>
      </c>
      <c r="L52" s="1024">
        <f t="shared" si="7"/>
        <v>571484.05356405547</v>
      </c>
    </row>
    <row r="53" spans="1:12" ht="14.5" x14ac:dyDescent="0.35">
      <c r="A53" s="640" t="s">
        <v>639</v>
      </c>
      <c r="E53" s="649"/>
      <c r="F53" s="655">
        <f t="shared" ref="F53:L53" si="8">F24-F52</f>
        <v>3.0000000027939677E-2</v>
      </c>
      <c r="G53" s="655">
        <f t="shared" si="8"/>
        <v>0</v>
      </c>
      <c r="H53" s="655">
        <f t="shared" si="8"/>
        <v>0</v>
      </c>
      <c r="I53" s="655">
        <f t="shared" si="8"/>
        <v>0</v>
      </c>
      <c r="J53" s="655">
        <f t="shared" si="8"/>
        <v>0</v>
      </c>
      <c r="K53" s="655">
        <f t="shared" si="8"/>
        <v>0</v>
      </c>
      <c r="L53" s="655">
        <f t="shared" si="8"/>
        <v>0</v>
      </c>
    </row>
    <row r="56" spans="1:12" ht="14.5" x14ac:dyDescent="0.35">
      <c r="A56" s="640" t="s">
        <v>640</v>
      </c>
      <c r="D56" s="640" t="s">
        <v>641</v>
      </c>
      <c r="F56" s="655">
        <f t="shared" ref="F56:L56" si="9">+F11+F14+F15+F16+F17+F18+F22-F35-F37-F40-F48</f>
        <v>-603414.99</v>
      </c>
      <c r="G56" s="1018">
        <f>+G11+G14+G15+G16+G17+G18+G22-G35-G37-G40-G48</f>
        <v>182122.05186206661</v>
      </c>
      <c r="H56" s="1018">
        <f>+H11+H14+H15+H16+H17+H18+H22-H35-H37-H40-H48</f>
        <v>206793.84930557851</v>
      </c>
      <c r="I56" s="1018">
        <f t="shared" si="9"/>
        <v>248643.55663707189</v>
      </c>
      <c r="J56" s="1018">
        <f t="shared" si="9"/>
        <v>248717.39657267486</v>
      </c>
      <c r="K56" s="1018">
        <f t="shared" si="9"/>
        <v>258389.77309429005</v>
      </c>
      <c r="L56" s="1018">
        <f t="shared" si="9"/>
        <v>187244.54009910556</v>
      </c>
    </row>
    <row r="57" spans="1:12" ht="14.5" x14ac:dyDescent="0.35">
      <c r="D57" s="640" t="s">
        <v>642</v>
      </c>
      <c r="F57" s="655">
        <f>+Liqu!S49</f>
        <v>601193.25477437221</v>
      </c>
      <c r="G57" s="655">
        <f>+Liqu!AH49</f>
        <v>-80649.97892987974</v>
      </c>
      <c r="H57" s="655">
        <f>+Liqu!AV49</f>
        <v>81974.644654376345</v>
      </c>
      <c r="I57" s="655">
        <f>+Liqu!BJ49</f>
        <v>7447.622397602303</v>
      </c>
      <c r="J57" s="655">
        <f>+Liqu!BX49</f>
        <v>-6193.0783756723977</v>
      </c>
      <c r="K57" s="655">
        <f>+Liqu!BY49</f>
        <v>-6193.0783756723977</v>
      </c>
      <c r="L57" s="655">
        <f>+Liqu!CB49</f>
        <v>0</v>
      </c>
    </row>
    <row r="58" spans="1:12" ht="14.5" x14ac:dyDescent="0.35">
      <c r="D58" s="664" t="s">
        <v>643</v>
      </c>
      <c r="E58" s="664"/>
      <c r="F58" s="665">
        <f t="shared" ref="F58:L58" si="10">+F56+F57</f>
        <v>-2221.7352256277809</v>
      </c>
      <c r="G58" s="665">
        <f t="shared" si="10"/>
        <v>101472.07293218687</v>
      </c>
      <c r="H58" s="665">
        <f t="shared" si="10"/>
        <v>288768.49395995482</v>
      </c>
      <c r="I58" s="665">
        <f t="shared" si="10"/>
        <v>256091.17903467419</v>
      </c>
      <c r="J58" s="665">
        <f t="shared" si="10"/>
        <v>242524.31819700246</v>
      </c>
      <c r="K58" s="665">
        <f t="shared" si="10"/>
        <v>252196.69471861765</v>
      </c>
      <c r="L58" s="665">
        <f t="shared" si="10"/>
        <v>187244.54009910556</v>
      </c>
    </row>
    <row r="59" spans="1:12" ht="14.5" x14ac:dyDescent="0.35">
      <c r="G59" s="655"/>
      <c r="H59" s="655">
        <f>+G58-H58</f>
        <v>-187296.42102776794</v>
      </c>
      <c r="I59" s="655">
        <f>+H58-I58</f>
        <v>32677.314925280632</v>
      </c>
      <c r="J59" s="655">
        <f>+I58-J58</f>
        <v>13566.860837671731</v>
      </c>
      <c r="K59" s="655">
        <f>+J58-K58</f>
        <v>-9672.3765216151951</v>
      </c>
      <c r="L59" s="655">
        <f>+K58-L58</f>
        <v>64952.15461951209</v>
      </c>
    </row>
    <row r="60" spans="1:12" ht="14.5" x14ac:dyDescent="0.35">
      <c r="D60" s="666"/>
    </row>
    <row r="61" spans="1:12" ht="14.5" x14ac:dyDescent="0.35">
      <c r="C61" s="667" t="s">
        <v>644</v>
      </c>
      <c r="D61" s="667"/>
      <c r="E61" s="667"/>
      <c r="F61" s="668">
        <f>+F14+F15+F16+F17+F22-Foerdergn!E26+Foerdergn!R7</f>
        <v>60092.72</v>
      </c>
      <c r="G61" s="668"/>
      <c r="H61" s="667"/>
      <c r="I61" s="667"/>
      <c r="J61" s="667"/>
      <c r="K61" s="667"/>
      <c r="L61" s="667"/>
    </row>
    <row r="62" spans="1:12" ht="14.5" x14ac:dyDescent="0.35">
      <c r="C62" s="667"/>
      <c r="D62" s="667"/>
      <c r="E62" s="667"/>
      <c r="F62" s="667"/>
      <c r="G62" s="667"/>
      <c r="H62" s="667"/>
      <c r="I62" s="667"/>
      <c r="J62" s="667"/>
      <c r="K62" s="667"/>
      <c r="L62" s="667"/>
    </row>
    <row r="63" spans="1:12" ht="14.5" x14ac:dyDescent="0.35">
      <c r="C63" s="667" t="s">
        <v>645</v>
      </c>
      <c r="D63" s="667"/>
      <c r="E63" s="667"/>
      <c r="F63" s="668">
        <f>+F40+F45+F47+F50-16562</f>
        <v>42686.990000000005</v>
      </c>
      <c r="G63" s="668"/>
      <c r="H63" s="667"/>
      <c r="I63" s="667"/>
      <c r="J63" s="667"/>
      <c r="K63" s="667"/>
      <c r="L63" s="667"/>
    </row>
    <row r="64" spans="1:12" ht="14.5" x14ac:dyDescent="0.35">
      <c r="G64" s="655"/>
      <c r="H64" s="655"/>
      <c r="I64" s="655"/>
    </row>
    <row r="65" spans="3:12" ht="14.5" x14ac:dyDescent="0.35">
      <c r="C65" s="1020" t="s">
        <v>646</v>
      </c>
      <c r="D65" s="1021">
        <f t="shared" ref="D65" si="11">+D28+D34</f>
        <v>72220</v>
      </c>
      <c r="E65" s="1021"/>
      <c r="F65" s="1021">
        <f t="shared" ref="F65:L65" si="12">+F28+F34</f>
        <v>13614.929999999993</v>
      </c>
      <c r="G65" s="1021">
        <f t="shared" si="12"/>
        <v>-222673.53040512651</v>
      </c>
      <c r="H65" s="1021">
        <f t="shared" si="12"/>
        <v>-310648.69688881491</v>
      </c>
      <c r="I65" s="1021">
        <f t="shared" si="12"/>
        <v>-300960.38149320253</v>
      </c>
      <c r="J65" s="1021">
        <f t="shared" si="12"/>
        <v>-259666.03954602842</v>
      </c>
      <c r="K65" s="1021">
        <f>+K28+K34</f>
        <v>-194999.7647865169</v>
      </c>
      <c r="L65" s="1021">
        <f t="shared" si="12"/>
        <v>-71678.954659328214</v>
      </c>
    </row>
    <row r="71" spans="3:12" ht="14.5" x14ac:dyDescent="0.35">
      <c r="G71" s="655"/>
      <c r="H71" s="655"/>
      <c r="I71" s="655"/>
    </row>
    <row r="74" spans="3:12" ht="14.5" x14ac:dyDescent="0.35">
      <c r="G74" s="655"/>
      <c r="H74" s="655"/>
      <c r="I74" s="655"/>
    </row>
    <row r="76" spans="3:12" ht="14.5" x14ac:dyDescent="0.35">
      <c r="G76" s="655"/>
      <c r="H76" s="655"/>
      <c r="I76" s="655"/>
    </row>
  </sheetData>
  <pageMargins left="0.31527777777777799" right="0.31527777777777799" top="0.78749999999999998" bottom="0.78749999999999998" header="0.511811023622047" footer="0.511811023622047"/>
  <pageSetup paperSize="9" scale="48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70"/>
  <sheetViews>
    <sheetView view="pageBreakPreview" zoomScaleNormal="100" workbookViewId="0">
      <pane ySplit="5" topLeftCell="A49" activePane="bottomLeft" state="frozen"/>
      <selection pane="bottomLeft" activeCell="H56" sqref="H56"/>
    </sheetView>
  </sheetViews>
  <sheetFormatPr baseColWidth="10" defaultColWidth="10.54296875" defaultRowHeight="14.25" customHeight="1" x14ac:dyDescent="0.35"/>
  <cols>
    <col min="1" max="1" width="4.26953125" style="640" customWidth="1"/>
    <col min="2" max="2" width="46.453125" style="640" customWidth="1"/>
    <col min="3" max="4" width="14" style="640" customWidth="1"/>
    <col min="5" max="5" width="11.7265625" style="640" customWidth="1"/>
    <col min="6" max="6" width="12.54296875" style="640" customWidth="1"/>
    <col min="7" max="7" width="12.26953125" style="640" customWidth="1"/>
    <col min="8" max="9" width="13.26953125" style="640" customWidth="1"/>
    <col min="10" max="10" width="13.54296875" style="640" customWidth="1"/>
    <col min="11" max="16384" width="10.54296875" style="640"/>
  </cols>
  <sheetData>
    <row r="1" spans="1:10" ht="14.5" x14ac:dyDescent="0.35">
      <c r="A1" s="642" t="s">
        <v>647</v>
      </c>
    </row>
    <row r="2" spans="1:10" ht="14.5" x14ac:dyDescent="0.35">
      <c r="A2" s="642"/>
      <c r="B2" s="640" t="s">
        <v>648</v>
      </c>
    </row>
    <row r="3" spans="1:10" ht="14.5" x14ac:dyDescent="0.35">
      <c r="A3" s="642"/>
    </row>
    <row r="4" spans="1:10" ht="14.5" x14ac:dyDescent="0.35">
      <c r="A4" s="640" t="s">
        <v>649</v>
      </c>
      <c r="C4" s="669">
        <v>45322</v>
      </c>
      <c r="D4" s="669">
        <v>45688</v>
      </c>
      <c r="E4" s="669">
        <v>46053</v>
      </c>
      <c r="F4" s="669">
        <v>46418</v>
      </c>
      <c r="G4" s="669">
        <v>46783</v>
      </c>
      <c r="H4" s="669">
        <v>47149</v>
      </c>
      <c r="I4" s="669">
        <v>47514</v>
      </c>
      <c r="J4" s="669">
        <v>47879</v>
      </c>
    </row>
    <row r="5" spans="1:10" ht="14.5" x14ac:dyDescent="0.35">
      <c r="A5" s="640" t="s">
        <v>546</v>
      </c>
      <c r="C5" s="670">
        <v>2023</v>
      </c>
      <c r="D5" s="670">
        <v>2024</v>
      </c>
      <c r="E5" s="670">
        <v>2025</v>
      </c>
      <c r="F5" s="670">
        <v>2026</v>
      </c>
      <c r="G5" s="670">
        <v>2027</v>
      </c>
      <c r="H5" s="670">
        <v>2028</v>
      </c>
      <c r="I5" s="670">
        <v>2029</v>
      </c>
      <c r="J5" s="670">
        <v>2030</v>
      </c>
    </row>
    <row r="6" spans="1:10" ht="14.5" x14ac:dyDescent="0.35">
      <c r="E6" s="655"/>
      <c r="F6" s="655"/>
      <c r="G6" s="655"/>
    </row>
    <row r="7" spans="1:10" ht="14.5" x14ac:dyDescent="0.35">
      <c r="A7" s="640" t="s">
        <v>650</v>
      </c>
      <c r="D7" s="655">
        <f>+Mitgl!S3</f>
        <v>882</v>
      </c>
      <c r="E7" s="655">
        <f>+Mitgl!AG3</f>
        <v>1350</v>
      </c>
      <c r="F7" s="655">
        <f>+Mitgl!AU3</f>
        <v>1803</v>
      </c>
      <c r="G7" s="655">
        <f>+Mitgl!BI3</f>
        <v>2103</v>
      </c>
      <c r="H7" s="655">
        <f>+Mitgl!BW3</f>
        <v>2283</v>
      </c>
      <c r="I7" s="655">
        <f>Mitgl!CL3</f>
        <v>2463</v>
      </c>
      <c r="J7" s="1015">
        <f>Mitgl!CZ3</f>
        <v>2643</v>
      </c>
    </row>
    <row r="8" spans="1:10" ht="14.5" x14ac:dyDescent="0.35">
      <c r="B8" s="640" t="s">
        <v>651</v>
      </c>
      <c r="E8" s="640" t="s">
        <v>652</v>
      </c>
    </row>
    <row r="9" spans="1:10" ht="14.5" x14ac:dyDescent="0.35">
      <c r="A9" s="641">
        <v>1</v>
      </c>
      <c r="B9" s="640" t="s">
        <v>653</v>
      </c>
      <c r="C9" s="651">
        <f>-Saldenlisten24_25!D51</f>
        <v>6201.81</v>
      </c>
      <c r="D9" s="651">
        <f>+Saldenlisten24_25!H53+Saldenlisten24_25!G52</f>
        <v>10058.720000000001</v>
      </c>
      <c r="E9" s="655">
        <f>+Mitgl!AH13</f>
        <v>390145.152</v>
      </c>
      <c r="F9" s="655">
        <f>+Mitgl!AV13</f>
        <v>1630129.2830500908</v>
      </c>
      <c r="G9" s="655">
        <f>+Mitgl!BJ13</f>
        <v>2267153.5881683901</v>
      </c>
      <c r="H9" s="655">
        <f>+Mitgl!BX13</f>
        <v>2728651.6114089657</v>
      </c>
      <c r="I9" s="655">
        <f>Mitgl!CL13</f>
        <v>3026824.389388151</v>
      </c>
      <c r="J9" s="1015">
        <f>Mitgl!CZ13</f>
        <v>3325744.7268897118</v>
      </c>
    </row>
    <row r="10" spans="1:10" ht="14.5" x14ac:dyDescent="0.35">
      <c r="A10" s="641"/>
      <c r="B10" s="640" t="s">
        <v>654</v>
      </c>
      <c r="C10" s="651"/>
      <c r="D10" s="655">
        <f>-Saldenlisten24_25!G52</f>
        <v>6395.84</v>
      </c>
      <c r="E10" s="655">
        <f>SUM(Liqu!AI15:AI17)</f>
        <v>15300</v>
      </c>
      <c r="F10" s="655">
        <f>SUM(Liqu!AW15:AW17)</f>
        <v>12000</v>
      </c>
      <c r="G10" s="655">
        <f>SUM(Liqu!BK15:BK17)</f>
        <v>12000</v>
      </c>
      <c r="H10" s="655">
        <f>SUM(Liqu!BY15:BY17)</f>
        <v>12000</v>
      </c>
      <c r="I10" s="655">
        <f>Liqu!BZ16</f>
        <v>12000</v>
      </c>
      <c r="J10" s="655">
        <f>Liqu!CA16</f>
        <v>12000</v>
      </c>
    </row>
    <row r="11" spans="1:10" ht="14.5" x14ac:dyDescent="0.35">
      <c r="A11" s="641">
        <v>2</v>
      </c>
      <c r="B11" s="640" t="s">
        <v>655</v>
      </c>
      <c r="C11" s="651">
        <f>-Saldenlisten24_25!D54-Saldenlisten24_25!D55</f>
        <v>79135.05</v>
      </c>
      <c r="D11" s="655">
        <f>-Saldenlisten24_25!G54-Saldenlisten24_25!G55-Saldenlisten24_25!G56-Saldenlisten24_25!G57</f>
        <v>82354</v>
      </c>
      <c r="E11" s="655">
        <f>AV!T63+Foerdergn!E13*0.1+Foerdergn!E17+Foerdergn!E12</f>
        <v>25900</v>
      </c>
      <c r="F11" s="655">
        <f>AV!T110</f>
        <v>16615</v>
      </c>
      <c r="G11" s="655">
        <f>AV!T156</f>
        <v>16615</v>
      </c>
      <c r="H11" s="655">
        <f>AV!T202</f>
        <v>16615</v>
      </c>
      <c r="I11" s="655">
        <f>AV!T250</f>
        <v>15300</v>
      </c>
      <c r="J11" s="651">
        <f>AV!T298</f>
        <v>9885</v>
      </c>
    </row>
    <row r="12" spans="1:10" ht="14.5" x14ac:dyDescent="0.35">
      <c r="A12" s="641"/>
      <c r="C12" s="651"/>
      <c r="F12" s="655"/>
      <c r="G12" s="655"/>
      <c r="H12" s="655"/>
      <c r="I12" s="655"/>
    </row>
    <row r="13" spans="1:10" ht="14.5" x14ac:dyDescent="0.35">
      <c r="A13" s="641"/>
      <c r="B13" s="642" t="s">
        <v>656</v>
      </c>
      <c r="C13" s="671">
        <f t="shared" ref="C13:J13" si="0">SUM(C9:C11)</f>
        <v>85336.86</v>
      </c>
      <c r="D13" s="672">
        <f t="shared" si="0"/>
        <v>98808.56</v>
      </c>
      <c r="E13" s="672">
        <f t="shared" si="0"/>
        <v>431345.152</v>
      </c>
      <c r="F13" s="672">
        <f t="shared" si="0"/>
        <v>1658744.2830500908</v>
      </c>
      <c r="G13" s="672">
        <f t="shared" si="0"/>
        <v>2295768.5881683901</v>
      </c>
      <c r="H13" s="672">
        <f t="shared" si="0"/>
        <v>2757266.6114089657</v>
      </c>
      <c r="I13" s="672">
        <f t="shared" si="0"/>
        <v>3054124.389388151</v>
      </c>
      <c r="J13" s="672">
        <f t="shared" si="0"/>
        <v>3347629.7268897118</v>
      </c>
    </row>
    <row r="14" spans="1:10" ht="14.5" x14ac:dyDescent="0.35">
      <c r="A14" s="641">
        <v>3</v>
      </c>
      <c r="B14" s="640" t="s">
        <v>657</v>
      </c>
      <c r="C14" s="651"/>
      <c r="E14" s="655"/>
      <c r="F14" s="655"/>
      <c r="G14" s="655"/>
      <c r="H14" s="655"/>
      <c r="I14" s="655"/>
    </row>
    <row r="15" spans="1:10" ht="14.5" x14ac:dyDescent="0.35">
      <c r="A15" s="641"/>
      <c r="B15" s="640" t="s">
        <v>658</v>
      </c>
      <c r="C15" s="651"/>
      <c r="E15" s="655">
        <v>0</v>
      </c>
      <c r="F15" s="655"/>
      <c r="G15" s="655"/>
      <c r="H15" s="655"/>
      <c r="I15" s="655"/>
    </row>
    <row r="16" spans="1:10" ht="14.5" x14ac:dyDescent="0.35">
      <c r="A16" s="641"/>
      <c r="B16" s="640" t="s">
        <v>659</v>
      </c>
      <c r="C16" s="651"/>
      <c r="D16" s="655">
        <v>0</v>
      </c>
      <c r="E16" s="673">
        <f>Mitgl!AH18</f>
        <v>307614.44676923077</v>
      </c>
      <c r="F16" s="673">
        <f>Mitgl!AV18</f>
        <v>1285294.2424048791</v>
      </c>
      <c r="G16" s="673">
        <f>Mitgl!BJ18</f>
        <v>1787563.4060558458</v>
      </c>
      <c r="H16" s="673">
        <f>Mitgl!BX18</f>
        <v>2151436.8474570685</v>
      </c>
      <c r="I16" s="673">
        <f>Mitgl!CL18</f>
        <v>2386534.6147098886</v>
      </c>
      <c r="J16" s="1015">
        <f>Mitgl!CZ18</f>
        <v>2622221.8038938106</v>
      </c>
    </row>
    <row r="17" spans="1:14" ht="15" hidden="1" customHeight="1" x14ac:dyDescent="0.35">
      <c r="A17" s="641"/>
      <c r="B17" s="640" t="s">
        <v>660</v>
      </c>
      <c r="C17" s="651"/>
      <c r="D17" s="674"/>
      <c r="E17" s="673">
        <v>0</v>
      </c>
      <c r="F17" s="673">
        <v>0</v>
      </c>
      <c r="G17" s="673">
        <v>0</v>
      </c>
      <c r="H17" s="673"/>
      <c r="I17" s="673"/>
    </row>
    <row r="18" spans="1:14" ht="14.5" x14ac:dyDescent="0.35">
      <c r="A18" s="641"/>
      <c r="B18" s="640" t="s">
        <v>661</v>
      </c>
      <c r="C18" s="651"/>
      <c r="E18" s="655">
        <v>0</v>
      </c>
      <c r="F18" s="655"/>
      <c r="G18" s="655"/>
    </row>
    <row r="19" spans="1:14" ht="14.5" x14ac:dyDescent="0.35">
      <c r="A19" s="641"/>
      <c r="B19" s="642" t="s">
        <v>662</v>
      </c>
      <c r="C19" s="671">
        <f t="shared" ref="C19:J19" si="1">SUM(C15:C18)</f>
        <v>0</v>
      </c>
      <c r="D19" s="672">
        <f t="shared" si="1"/>
        <v>0</v>
      </c>
      <c r="E19" s="672">
        <f t="shared" si="1"/>
        <v>307614.44676923077</v>
      </c>
      <c r="F19" s="672">
        <f t="shared" si="1"/>
        <v>1285294.2424048791</v>
      </c>
      <c r="G19" s="672">
        <f t="shared" si="1"/>
        <v>1787563.4060558458</v>
      </c>
      <c r="H19" s="672">
        <f t="shared" si="1"/>
        <v>2151436.8474570685</v>
      </c>
      <c r="I19" s="672">
        <f t="shared" si="1"/>
        <v>2386534.6147098886</v>
      </c>
      <c r="J19" s="672">
        <f t="shared" si="1"/>
        <v>2622221.8038938106</v>
      </c>
    </row>
    <row r="20" spans="1:14" ht="14.5" x14ac:dyDescent="0.35">
      <c r="A20" s="641">
        <v>4</v>
      </c>
      <c r="B20" s="642" t="s">
        <v>515</v>
      </c>
      <c r="C20" s="671">
        <f>Saldenlisten24_25!C80</f>
        <v>79362.44</v>
      </c>
      <c r="D20" s="672">
        <f>+Saldenlisten24_25!F80</f>
        <v>108082.72</v>
      </c>
      <c r="E20" s="672">
        <f>+Aufwand!AH7</f>
        <v>205840.36011904728</v>
      </c>
      <c r="F20" s="675">
        <f>+Aufwand!AV7</f>
        <v>273692.02585999953</v>
      </c>
      <c r="G20" s="675">
        <f>+Aufwand!BJ7</f>
        <v>293764.59792579518</v>
      </c>
      <c r="H20" s="675">
        <f>+Aufwand!BX7</f>
        <v>293764.59792579518</v>
      </c>
      <c r="I20" s="675">
        <f>Aufwand!CL7</f>
        <v>312056.34022330801</v>
      </c>
      <c r="J20" s="1017">
        <f>Aufwand!CZ7</f>
        <v>320793.91774956061</v>
      </c>
    </row>
    <row r="21" spans="1:14" ht="14.5" x14ac:dyDescent="0.35">
      <c r="A21" s="641">
        <v>5</v>
      </c>
      <c r="B21" s="640" t="s">
        <v>663</v>
      </c>
      <c r="C21" s="651"/>
      <c r="D21" s="673"/>
      <c r="E21" s="673"/>
      <c r="F21" s="673"/>
      <c r="G21" s="673"/>
      <c r="H21" s="673"/>
      <c r="I21" s="673"/>
    </row>
    <row r="22" spans="1:14" ht="14.5" x14ac:dyDescent="0.35">
      <c r="A22" s="641"/>
      <c r="B22" s="640" t="s">
        <v>664</v>
      </c>
      <c r="C22" s="651">
        <v>0</v>
      </c>
      <c r="D22" s="673">
        <f>+Saldenlisten24_25!F82</f>
        <v>1460.5</v>
      </c>
      <c r="E22" s="673">
        <f>+AV!H63</f>
        <v>44099.073999999993</v>
      </c>
      <c r="F22" s="673">
        <f>+AV!H110</f>
        <v>85802.914666666664</v>
      </c>
      <c r="G22" s="673">
        <f>+AV!H156</f>
        <v>85802.914666666664</v>
      </c>
      <c r="H22" s="673">
        <f>+AV!H202</f>
        <v>85802.914666666664</v>
      </c>
      <c r="I22" s="673">
        <f>AV!H250</f>
        <v>84432.914666666664</v>
      </c>
      <c r="J22" s="655">
        <f>AV!H298</f>
        <v>76137.914666666664</v>
      </c>
      <c r="N22" s="640" t="s">
        <v>665</v>
      </c>
    </row>
    <row r="23" spans="1:14" ht="14.5" x14ac:dyDescent="0.35">
      <c r="A23" s="641"/>
      <c r="B23" s="640" t="s">
        <v>666</v>
      </c>
      <c r="C23" s="651">
        <f>+Saldenlisten24_25!C83</f>
        <v>1989.45</v>
      </c>
      <c r="D23" s="673">
        <f>+Saldenlisten24_25!F83</f>
        <v>4566.12</v>
      </c>
      <c r="E23" s="673"/>
      <c r="F23" s="673"/>
      <c r="G23" s="673"/>
      <c r="H23" s="673"/>
      <c r="I23" s="673"/>
    </row>
    <row r="24" spans="1:14" ht="14.5" x14ac:dyDescent="0.35">
      <c r="A24" s="641"/>
      <c r="B24" s="642" t="s">
        <v>667</v>
      </c>
      <c r="C24" s="671">
        <f>+C22+C23</f>
        <v>1989.45</v>
      </c>
      <c r="D24" s="675">
        <f>+D22+D23</f>
        <v>6026.62</v>
      </c>
      <c r="E24" s="672">
        <f>AV!H63</f>
        <v>44099.073999999993</v>
      </c>
      <c r="F24" s="672">
        <f>AV!H110</f>
        <v>85802.914666666664</v>
      </c>
      <c r="G24" s="672">
        <f>AV!H156</f>
        <v>85802.914666666664</v>
      </c>
      <c r="H24" s="672">
        <f>AV!H202</f>
        <v>85802.914666666664</v>
      </c>
      <c r="I24" s="672">
        <f>I22</f>
        <v>84432.914666666664</v>
      </c>
      <c r="J24" s="1017">
        <f>J22</f>
        <v>76137.914666666664</v>
      </c>
    </row>
    <row r="25" spans="1:14" ht="14.5" x14ac:dyDescent="0.35">
      <c r="A25" s="641">
        <v>6</v>
      </c>
      <c r="B25" s="640" t="s">
        <v>222</v>
      </c>
      <c r="C25" s="651"/>
      <c r="D25" s="684"/>
      <c r="E25" s="655"/>
      <c r="F25" s="655"/>
      <c r="G25" s="655"/>
    </row>
    <row r="26" spans="1:14" ht="15" customHeight="1" x14ac:dyDescent="0.35">
      <c r="A26" s="641"/>
      <c r="B26" s="640" t="s">
        <v>668</v>
      </c>
      <c r="C26" s="651"/>
      <c r="D26" s="684">
        <f>+Saldenlisten24_25!F85+Saldenlisten24_25!F87</f>
        <v>6172.3499999999995</v>
      </c>
      <c r="E26" s="655"/>
      <c r="F26" s="655"/>
      <c r="G26" s="655"/>
    </row>
    <row r="27" spans="1:14" ht="15" customHeight="1" x14ac:dyDescent="0.35">
      <c r="A27" s="641"/>
      <c r="B27" s="640" t="s">
        <v>669</v>
      </c>
      <c r="C27" s="651"/>
      <c r="D27" s="673">
        <f>+Aufwand!T25</f>
        <v>0</v>
      </c>
      <c r="E27" s="655">
        <f>+Aufwand!AH25</f>
        <v>26754.000000000004</v>
      </c>
      <c r="F27" s="655">
        <f>+Aufwand!AV25</f>
        <v>33123.51</v>
      </c>
      <c r="G27" s="655">
        <f>+Aufwand!BJ25</f>
        <v>34049.609999999993</v>
      </c>
      <c r="H27" s="655">
        <f>+Aufwand!BX25</f>
        <v>34913.970000000008</v>
      </c>
      <c r="I27" s="655">
        <f>Aufwand!CL25</f>
        <v>35891.561159999997</v>
      </c>
      <c r="J27" s="655">
        <f>Aufwand!CZ25</f>
        <v>36896.524872480004</v>
      </c>
    </row>
    <row r="28" spans="1:14" ht="15" customHeight="1" x14ac:dyDescent="0.35">
      <c r="A28" s="641"/>
      <c r="B28" s="640" t="s">
        <v>670</v>
      </c>
      <c r="C28" s="651"/>
      <c r="D28" s="673">
        <f>+Saldenlisten24_25!F89</f>
        <v>71.510000000000005</v>
      </c>
      <c r="E28" s="655"/>
      <c r="F28" s="655"/>
      <c r="G28" s="655"/>
    </row>
    <row r="29" spans="1:14" ht="15" customHeight="1" x14ac:dyDescent="0.35">
      <c r="A29" s="641"/>
      <c r="B29" s="640" t="s">
        <v>671</v>
      </c>
      <c r="C29" s="651">
        <f>+Saldenlisten24_25!C93</f>
        <v>1190</v>
      </c>
      <c r="D29" s="673">
        <f>+Saldenlisten24_25!F93+Saldenlisten24_25!F94</f>
        <v>36760</v>
      </c>
      <c r="E29" s="655">
        <f>+Aufwand!AH13</f>
        <v>80948.500000000015</v>
      </c>
      <c r="F29" s="655">
        <f>+Aufwand!AV13</f>
        <v>92063.39999999998</v>
      </c>
      <c r="G29" s="655">
        <f>+Aufwand!BJ13</f>
        <v>94637.39999999998</v>
      </c>
      <c r="H29" s="655">
        <f>+Aufwand!BX13</f>
        <v>97039.800000000017</v>
      </c>
      <c r="I29" s="655">
        <f>Aufwand!CL13</f>
        <v>99442.2</v>
      </c>
      <c r="J29" s="655">
        <f>Aufwand!CZ13</f>
        <v>101844.59999999998</v>
      </c>
    </row>
    <row r="30" spans="1:14" ht="15" customHeight="1" x14ac:dyDescent="0.35">
      <c r="A30" s="641"/>
      <c r="B30" s="640" t="s">
        <v>672</v>
      </c>
      <c r="C30" s="651">
        <f>+Saldenlisten24_25!C95</f>
        <v>1181.8</v>
      </c>
      <c r="D30" s="684">
        <f>+Saldenlisten24_25!F95</f>
        <v>2419.2399999999998</v>
      </c>
      <c r="E30" s="655"/>
      <c r="F30" s="655"/>
      <c r="G30" s="655"/>
    </row>
    <row r="31" spans="1:14" ht="15" customHeight="1" x14ac:dyDescent="0.35">
      <c r="A31" s="641"/>
      <c r="B31" s="640" t="s">
        <v>673</v>
      </c>
      <c r="C31" s="651">
        <f>+Saldenlisten24_25!C91+Saldenlisten24_25!C92</f>
        <v>97.1</v>
      </c>
      <c r="D31" s="684">
        <f>+Saldenlisten24_25!F91+Saldenlisten24_25!F92</f>
        <v>370.78</v>
      </c>
      <c r="E31" s="655"/>
      <c r="F31" s="655"/>
      <c r="G31" s="655"/>
    </row>
    <row r="32" spans="1:14" ht="15" customHeight="1" x14ac:dyDescent="0.35">
      <c r="A32" s="641"/>
      <c r="B32" s="640" t="s">
        <v>674</v>
      </c>
      <c r="C32" s="651">
        <f>+Saldenlisten24_25!C98+Saldenlisten24_25!C99</f>
        <v>377.5</v>
      </c>
      <c r="D32" s="684">
        <f>+Saldenlisten24_25!F97+Saldenlisten24_25!F98+Saldenlisten24_25!F99</f>
        <v>5083.7299999999996</v>
      </c>
      <c r="E32" s="655"/>
      <c r="F32" s="655"/>
      <c r="G32" s="655"/>
    </row>
    <row r="33" spans="1:10" ht="15" customHeight="1" x14ac:dyDescent="0.35">
      <c r="A33" s="641"/>
      <c r="B33" s="640" t="s">
        <v>675</v>
      </c>
      <c r="C33" s="651"/>
      <c r="D33" s="684">
        <f>+Saldenlisten24_25!F100</f>
        <v>1471.29</v>
      </c>
      <c r="E33" s="655"/>
      <c r="F33" s="655"/>
      <c r="G33" s="655"/>
    </row>
    <row r="34" spans="1:10" ht="15" customHeight="1" x14ac:dyDescent="0.35">
      <c r="A34" s="641"/>
      <c r="B34" s="640" t="s">
        <v>676</v>
      </c>
      <c r="C34" s="651">
        <f>+Saldenlisten24_25!C101+Saldenlisten24_25!C103+Saldenlisten24_25!C104+Saldenlisten24_25!C105</f>
        <v>4616.16</v>
      </c>
      <c r="D34" s="684">
        <f>+Saldenlisten24_25!F101+Saldenlisten24_25!F103+Saldenlisten24_25!F104+Saldenlisten24_25!F105</f>
        <v>3657.7200000000003</v>
      </c>
      <c r="E34" s="655"/>
      <c r="F34" s="655"/>
      <c r="G34" s="655"/>
    </row>
    <row r="35" spans="1:10" ht="15" customHeight="1" x14ac:dyDescent="0.35">
      <c r="A35" s="641"/>
      <c r="B35" s="640" t="s">
        <v>677</v>
      </c>
      <c r="C35" s="651"/>
      <c r="D35" s="684"/>
      <c r="E35" s="655"/>
      <c r="F35" s="655"/>
      <c r="G35" s="655"/>
    </row>
    <row r="36" spans="1:10" ht="15" customHeight="1" x14ac:dyDescent="0.35">
      <c r="A36" s="641"/>
      <c r="B36" s="640" t="s">
        <v>678</v>
      </c>
      <c r="C36" s="651">
        <f>+Saldenlisten24_25!C84+Saldenlisten24_25!C106</f>
        <v>2676.16</v>
      </c>
      <c r="D36" s="684">
        <f>+Saldenlisten24_25!F84+Saldenlisten24_25!F106</f>
        <v>5175.8899999999994</v>
      </c>
      <c r="E36" s="655"/>
      <c r="F36" s="655"/>
      <c r="G36" s="655"/>
    </row>
    <row r="37" spans="1:10" ht="15" customHeight="1" x14ac:dyDescent="0.35">
      <c r="A37" s="641"/>
      <c r="B37" s="640" t="s">
        <v>679</v>
      </c>
      <c r="C37" s="651">
        <f>+Saldenlisten24_25!C107</f>
        <v>535.37</v>
      </c>
      <c r="D37" s="684">
        <f>+Saldenlisten24_25!F107+Saldenlisten24_25!F108</f>
        <v>1275.0800000000002</v>
      </c>
      <c r="E37" s="655"/>
      <c r="F37" s="655"/>
      <c r="G37" s="655"/>
    </row>
    <row r="38" spans="1:10" ht="15" customHeight="1" x14ac:dyDescent="0.35">
      <c r="A38" s="641"/>
      <c r="B38" s="640" t="s">
        <v>680</v>
      </c>
      <c r="C38" s="651"/>
      <c r="D38" s="684"/>
      <c r="E38" s="655"/>
      <c r="F38" s="655"/>
      <c r="G38" s="655"/>
    </row>
    <row r="39" spans="1:10" ht="15" customHeight="1" x14ac:dyDescent="0.35">
      <c r="A39" s="641"/>
      <c r="B39" s="640" t="s">
        <v>681</v>
      </c>
      <c r="C39" s="651">
        <f>+Saldenlisten24_25!C102</f>
        <v>11300</v>
      </c>
      <c r="D39" s="684"/>
      <c r="E39" s="655">
        <f>+Aufwand!AH35+Mitgl!AH25-GV!E27</f>
        <v>51873.809850181817</v>
      </c>
      <c r="F39" s="655">
        <f>+Aufwand!AV35+Mitgl!AV25-GV!F27</f>
        <v>70614.937069896114</v>
      </c>
      <c r="G39" s="655">
        <f>+Aufwand!BJ35+Mitgl!BJ25-GV!G27</f>
        <v>70256.425924469891</v>
      </c>
      <c r="H39" s="655">
        <f>+Aufwand!BX35+Mitgl!BX25-GV!H27</f>
        <v>69430.498696261056</v>
      </c>
      <c r="I39" s="655">
        <f>Aufwand!CL35+Mitgl!CL25-GV!I27</f>
        <v>80755.634827655784</v>
      </c>
      <c r="J39" s="655">
        <f>Aufwand!CZ35+Mitgl!CZ25-GV!J27</f>
        <v>79199.580526725535</v>
      </c>
    </row>
    <row r="40" spans="1:10" ht="15" customHeight="1" x14ac:dyDescent="0.35">
      <c r="A40" s="641"/>
      <c r="B40" s="640" t="s">
        <v>682</v>
      </c>
      <c r="C40" s="651">
        <f>+Saldenlisten24_25!C86</f>
        <v>7636.8</v>
      </c>
      <c r="D40" s="684">
        <f>+Saldenlisten24_25!F86+Saldenlisten24_25!F102</f>
        <v>32915.42</v>
      </c>
      <c r="E40" s="655"/>
      <c r="F40" s="655"/>
      <c r="G40" s="655"/>
    </row>
    <row r="41" spans="1:10" ht="15" customHeight="1" x14ac:dyDescent="0.35">
      <c r="A41" s="641"/>
      <c r="B41" s="640" t="s">
        <v>683</v>
      </c>
      <c r="C41" s="651"/>
      <c r="D41" s="684"/>
      <c r="E41" s="676"/>
      <c r="F41" s="655"/>
      <c r="G41" s="655"/>
    </row>
    <row r="42" spans="1:10" ht="15" customHeight="1" x14ac:dyDescent="0.35">
      <c r="A42" s="641"/>
      <c r="B42" s="640" t="s">
        <v>684</v>
      </c>
      <c r="C42" s="651"/>
      <c r="D42" s="684"/>
      <c r="E42" s="655"/>
      <c r="F42" s="655"/>
      <c r="G42" s="655"/>
      <c r="J42" s="655"/>
    </row>
    <row r="43" spans="1:10" ht="15" customHeight="1" x14ac:dyDescent="0.35">
      <c r="A43" s="641"/>
      <c r="B43" s="640" t="s">
        <v>685</v>
      </c>
      <c r="C43" s="651">
        <f>+Saldenlisten24_25!C96</f>
        <v>2511.13</v>
      </c>
      <c r="D43" s="684">
        <f>+Saldenlisten24_25!F96</f>
        <v>1002.78</v>
      </c>
      <c r="E43" s="655"/>
      <c r="F43" s="655"/>
      <c r="G43" s="655"/>
      <c r="J43" s="655"/>
    </row>
    <row r="44" spans="1:10" ht="15" customHeight="1" x14ac:dyDescent="0.35">
      <c r="A44" s="641"/>
      <c r="B44" s="642" t="s">
        <v>686</v>
      </c>
      <c r="C44" s="671">
        <f t="shared" ref="C44:J44" si="2">SUM(C26:C43)</f>
        <v>32122.02</v>
      </c>
      <c r="D44" s="675">
        <f t="shared" si="2"/>
        <v>96375.790000000008</v>
      </c>
      <c r="E44" s="672">
        <f t="shared" si="2"/>
        <v>159576.30985018183</v>
      </c>
      <c r="F44" s="672">
        <f t="shared" si="2"/>
        <v>195801.84706989609</v>
      </c>
      <c r="G44" s="672">
        <f t="shared" si="2"/>
        <v>198943.43592446987</v>
      </c>
      <c r="H44" s="672">
        <f t="shared" si="2"/>
        <v>201384.26869626108</v>
      </c>
      <c r="I44" s="672">
        <f t="shared" si="2"/>
        <v>216089.39598765579</v>
      </c>
      <c r="J44" s="672">
        <f t="shared" si="2"/>
        <v>217940.70539920553</v>
      </c>
    </row>
    <row r="45" spans="1:10" ht="15" customHeight="1" x14ac:dyDescent="0.35">
      <c r="A45" s="641"/>
      <c r="B45" s="642" t="s">
        <v>687</v>
      </c>
      <c r="C45" s="671">
        <f t="shared" ref="C45:J45" si="3">+C19+C20+C24+C44</f>
        <v>113473.91</v>
      </c>
      <c r="D45" s="675">
        <f t="shared" si="3"/>
        <v>210485.13</v>
      </c>
      <c r="E45" s="672">
        <f t="shared" si="3"/>
        <v>717130.19073845982</v>
      </c>
      <c r="F45" s="672">
        <f t="shared" si="3"/>
        <v>1840591.0300014412</v>
      </c>
      <c r="G45" s="672">
        <f t="shared" si="3"/>
        <v>2366074.3545727776</v>
      </c>
      <c r="H45" s="672">
        <f t="shared" si="3"/>
        <v>2732388.6287457915</v>
      </c>
      <c r="I45" s="672">
        <f t="shared" si="3"/>
        <v>2999113.2655875194</v>
      </c>
      <c r="J45" s="672">
        <f t="shared" si="3"/>
        <v>3237094.3417092431</v>
      </c>
    </row>
    <row r="46" spans="1:10" ht="15" customHeight="1" x14ac:dyDescent="0.35">
      <c r="A46" s="641"/>
      <c r="B46" s="642" t="s">
        <v>688</v>
      </c>
      <c r="C46" s="677"/>
      <c r="D46" s="675">
        <f t="shared" ref="D46:J46" si="4">D13-D45+D22</f>
        <v>-110216.07</v>
      </c>
      <c r="E46" s="672">
        <f t="shared" si="4"/>
        <v>-241685.96473845982</v>
      </c>
      <c r="F46" s="672">
        <f t="shared" si="4"/>
        <v>-96043.832284683813</v>
      </c>
      <c r="G46" s="672">
        <f t="shared" si="4"/>
        <v>15497.148262279123</v>
      </c>
      <c r="H46" s="672">
        <f t="shared" si="4"/>
        <v>110680.89732984082</v>
      </c>
      <c r="I46" s="672">
        <f t="shared" si="4"/>
        <v>139444.03846729826</v>
      </c>
      <c r="J46" s="672">
        <f t="shared" si="4"/>
        <v>186673.29984713532</v>
      </c>
    </row>
    <row r="47" spans="1:10" ht="15" customHeight="1" x14ac:dyDescent="0.35">
      <c r="A47" s="641"/>
      <c r="B47" s="678" t="s">
        <v>689</v>
      </c>
      <c r="C47" s="671"/>
      <c r="D47" s="675">
        <f t="shared" ref="D47:J47" si="5">D13-D45</f>
        <v>-111676.57</v>
      </c>
      <c r="E47" s="672">
        <f t="shared" si="5"/>
        <v>-285785.03873845981</v>
      </c>
      <c r="F47" s="672">
        <f t="shared" si="5"/>
        <v>-181846.74695135048</v>
      </c>
      <c r="G47" s="672">
        <f t="shared" si="5"/>
        <v>-70305.766404387541</v>
      </c>
      <c r="H47" s="672">
        <f t="shared" si="5"/>
        <v>24877.98266317416</v>
      </c>
      <c r="I47" s="672">
        <f t="shared" si="5"/>
        <v>55011.123800631613</v>
      </c>
      <c r="J47" s="672">
        <f t="shared" si="5"/>
        <v>110535.38518046867</v>
      </c>
    </row>
    <row r="48" spans="1:10" ht="15" customHeight="1" x14ac:dyDescent="0.35">
      <c r="A48" s="641"/>
      <c r="B48" s="679" t="s">
        <v>690</v>
      </c>
      <c r="C48" s="651">
        <v>0</v>
      </c>
      <c r="D48" s="673">
        <f>-Saldenlisten24_25!G113</f>
        <v>8403.08</v>
      </c>
      <c r="E48" s="655">
        <v>0</v>
      </c>
      <c r="F48" s="655">
        <f>+Finanz!AV18</f>
        <v>0</v>
      </c>
      <c r="G48" s="655">
        <f>+Finanz!BJ18</f>
        <v>0</v>
      </c>
      <c r="H48" s="655">
        <f>+Finanz!BX18</f>
        <v>0</v>
      </c>
      <c r="I48" s="655"/>
    </row>
    <row r="49" spans="1:10" ht="15" customHeight="1" x14ac:dyDescent="0.35">
      <c r="A49" s="641"/>
      <c r="B49" s="679" t="s">
        <v>224</v>
      </c>
      <c r="C49" s="655">
        <f>+Saldenlisten24_25!C118</f>
        <v>2539.5100000000002</v>
      </c>
      <c r="D49" s="673">
        <f>+Saldenlisten24_25!F114</f>
        <v>8415.02</v>
      </c>
      <c r="E49" s="655">
        <f>+Finanz!AH20</f>
        <v>25243.421666666673</v>
      </c>
      <c r="F49" s="655">
        <f>+Finanz!AV20</f>
        <v>34028.419532337895</v>
      </c>
      <c r="G49" s="655">
        <f>+Finanz!BJ20</f>
        <v>25149.126199999995</v>
      </c>
      <c r="H49" s="655">
        <f>+Finanz!BX20</f>
        <v>22072.744715999994</v>
      </c>
      <c r="I49" s="655">
        <f>Finanz!CK20</f>
        <v>18748.849041119993</v>
      </c>
      <c r="J49" s="1015">
        <f>Finanz!CX20</f>
        <v>15618.57505327999</v>
      </c>
    </row>
    <row r="50" spans="1:10" ht="15" customHeight="1" x14ac:dyDescent="0.35">
      <c r="A50" s="641"/>
      <c r="B50" s="642" t="s">
        <v>691</v>
      </c>
      <c r="C50" s="655">
        <f t="shared" ref="C50:J50" si="6">+C48-C49</f>
        <v>-2539.5100000000002</v>
      </c>
      <c r="D50" s="673">
        <f t="shared" si="6"/>
        <v>-11.940000000000509</v>
      </c>
      <c r="E50" s="655">
        <f t="shared" si="6"/>
        <v>-25243.421666666673</v>
      </c>
      <c r="F50" s="655">
        <f t="shared" si="6"/>
        <v>-34028.419532337895</v>
      </c>
      <c r="G50" s="655">
        <f t="shared" si="6"/>
        <v>-25149.126199999995</v>
      </c>
      <c r="H50" s="655">
        <f t="shared" si="6"/>
        <v>-22072.744715999994</v>
      </c>
      <c r="I50" s="655">
        <f t="shared" si="6"/>
        <v>-18748.849041119993</v>
      </c>
      <c r="J50" s="655">
        <f t="shared" si="6"/>
        <v>-15618.57505327999</v>
      </c>
    </row>
    <row r="51" spans="1:10" ht="15" customHeight="1" x14ac:dyDescent="0.35">
      <c r="A51" s="641"/>
      <c r="B51" s="642" t="s">
        <v>692</v>
      </c>
      <c r="C51" s="680">
        <f t="shared" ref="C51:J51" si="7">+C13-C45+C50</f>
        <v>-30676.560000000005</v>
      </c>
      <c r="D51" s="680">
        <f t="shared" si="7"/>
        <v>-111688.51000000001</v>
      </c>
      <c r="E51" s="680">
        <f t="shared" si="7"/>
        <v>-311028.46040512651</v>
      </c>
      <c r="F51" s="680">
        <f t="shared" si="7"/>
        <v>-215875.16648368837</v>
      </c>
      <c r="G51" s="680">
        <f t="shared" si="7"/>
        <v>-95454.89260438754</v>
      </c>
      <c r="H51" s="680">
        <f t="shared" si="7"/>
        <v>2805.237947174166</v>
      </c>
      <c r="I51" s="680">
        <f t="shared" si="7"/>
        <v>36262.274759511623</v>
      </c>
      <c r="J51" s="680">
        <f t="shared" si="7"/>
        <v>94916.810127188684</v>
      </c>
    </row>
    <row r="52" spans="1:10" ht="15" customHeight="1" x14ac:dyDescent="0.35">
      <c r="A52" s="641"/>
      <c r="B52" s="640" t="s">
        <v>693</v>
      </c>
      <c r="C52" s="671"/>
      <c r="D52" s="675"/>
      <c r="E52" s="676"/>
      <c r="F52" s="655"/>
      <c r="G52" s="655"/>
    </row>
    <row r="53" spans="1:10" ht="15" customHeight="1" x14ac:dyDescent="0.35">
      <c r="A53" s="641"/>
      <c r="B53" s="640" t="s">
        <v>694</v>
      </c>
      <c r="C53" s="651"/>
      <c r="D53" s="791"/>
      <c r="E53" s="676"/>
      <c r="F53" s="655"/>
      <c r="G53" s="655"/>
    </row>
    <row r="54" spans="1:10" ht="15" customHeight="1" x14ac:dyDescent="0.35">
      <c r="A54" s="641"/>
      <c r="B54" s="640" t="s">
        <v>695</v>
      </c>
      <c r="C54" s="651"/>
      <c r="D54" s="791"/>
      <c r="E54" s="676"/>
      <c r="F54" s="676"/>
      <c r="G54" s="676"/>
    </row>
    <row r="55" spans="1:10" ht="15" customHeight="1" x14ac:dyDescent="0.35">
      <c r="A55" s="641"/>
      <c r="B55" s="681" t="s">
        <v>696</v>
      </c>
      <c r="C55" s="682">
        <f>+C51</f>
        <v>-30676.560000000005</v>
      </c>
      <c r="D55" s="683">
        <f>+D51</f>
        <v>-111688.51000000001</v>
      </c>
      <c r="E55" s="683">
        <f>E51+E52+E53+E54</f>
        <v>-311028.46040512651</v>
      </c>
      <c r="F55" s="683">
        <f>F51+F52+F53+F54</f>
        <v>-215875.16648368837</v>
      </c>
      <c r="G55" s="683">
        <f>G51+G52+G53+G54</f>
        <v>-95454.89260438754</v>
      </c>
      <c r="H55" s="683">
        <f>H51+H52+H53+H54</f>
        <v>2805.237947174166</v>
      </c>
      <c r="I55" s="683">
        <f t="shared" ref="I55:J55" si="8">I51+I52+I53+I54</f>
        <v>36262.274759511623</v>
      </c>
      <c r="J55" s="683">
        <f t="shared" si="8"/>
        <v>94916.810127188684</v>
      </c>
    </row>
    <row r="56" spans="1:10" ht="15" customHeight="1" x14ac:dyDescent="0.35">
      <c r="A56" s="641"/>
      <c r="B56" s="640" t="s">
        <v>697</v>
      </c>
      <c r="C56" s="651"/>
      <c r="D56" s="651"/>
      <c r="E56" s="655"/>
      <c r="F56" s="655"/>
      <c r="G56" s="655"/>
      <c r="H56" s="651"/>
      <c r="I56" s="651"/>
    </row>
    <row r="57" spans="1:10" ht="15" customHeight="1" x14ac:dyDescent="0.35">
      <c r="A57" s="641"/>
      <c r="B57" s="640" t="s">
        <v>627</v>
      </c>
      <c r="C57" s="684"/>
      <c r="D57" s="673">
        <f t="shared" ref="D57:J57" si="9">+C58</f>
        <v>-30676.560000000005</v>
      </c>
      <c r="E57" s="673">
        <f t="shared" si="9"/>
        <v>-142365.07</v>
      </c>
      <c r="F57" s="673">
        <f t="shared" si="9"/>
        <v>-453393.53040512651</v>
      </c>
      <c r="G57" s="673">
        <f t="shared" si="9"/>
        <v>-669268.69688881491</v>
      </c>
      <c r="H57" s="673">
        <f t="shared" si="9"/>
        <v>-764723.58949320251</v>
      </c>
      <c r="I57" s="673">
        <f t="shared" si="9"/>
        <v>-761918.3515460284</v>
      </c>
      <c r="J57" s="673">
        <f t="shared" si="9"/>
        <v>-725656.07678651682</v>
      </c>
    </row>
    <row r="58" spans="1:10" ht="15" customHeight="1" x14ac:dyDescent="0.35">
      <c r="A58" s="641"/>
      <c r="B58" s="681" t="s">
        <v>628</v>
      </c>
      <c r="C58" s="682">
        <f>+C55</f>
        <v>-30676.560000000005</v>
      </c>
      <c r="D58" s="683">
        <f>+D55+D57</f>
        <v>-142365.07</v>
      </c>
      <c r="E58" s="683">
        <f t="shared" ref="E58:J58" si="10">E55+E57+E56</f>
        <v>-453393.53040512651</v>
      </c>
      <c r="F58" s="683">
        <f t="shared" si="10"/>
        <v>-669268.69688881491</v>
      </c>
      <c r="G58" s="683">
        <f t="shared" si="10"/>
        <v>-764723.58949320251</v>
      </c>
      <c r="H58" s="683">
        <f t="shared" si="10"/>
        <v>-761918.3515460284</v>
      </c>
      <c r="I58" s="683">
        <f t="shared" si="10"/>
        <v>-725656.07678651682</v>
      </c>
      <c r="J58" s="683">
        <f t="shared" si="10"/>
        <v>-630739.26665932813</v>
      </c>
    </row>
    <row r="59" spans="1:10" ht="14.5" x14ac:dyDescent="0.35">
      <c r="A59" s="641"/>
      <c r="B59" s="642"/>
      <c r="C59" s="642"/>
      <c r="D59" s="642"/>
      <c r="E59" s="655"/>
      <c r="F59" s="655"/>
      <c r="G59" s="655"/>
    </row>
    <row r="60" spans="1:10" ht="14.5" x14ac:dyDescent="0.35">
      <c r="A60" s="641"/>
      <c r="B60" s="642"/>
      <c r="C60" s="642"/>
      <c r="D60" s="642"/>
      <c r="E60" s="655"/>
      <c r="F60" s="655"/>
      <c r="G60" s="655"/>
    </row>
    <row r="61" spans="1:10" ht="14.5" x14ac:dyDescent="0.35">
      <c r="A61" s="685"/>
      <c r="B61" s="686"/>
      <c r="C61" s="686"/>
      <c r="D61" s="686"/>
      <c r="E61" s="687"/>
      <c r="F61" s="687"/>
      <c r="G61" s="687"/>
      <c r="H61" s="688"/>
    </row>
    <row r="62" spans="1:10" ht="14.5" hidden="1" x14ac:dyDescent="0.35">
      <c r="A62" s="1066" t="s">
        <v>698</v>
      </c>
      <c r="B62" s="1066"/>
      <c r="C62" s="1066"/>
      <c r="D62" s="1066"/>
      <c r="E62" s="1066"/>
      <c r="F62" s="655"/>
      <c r="G62" s="655"/>
    </row>
    <row r="63" spans="1:10" ht="14.5" hidden="1" x14ac:dyDescent="0.35">
      <c r="A63" s="641"/>
      <c r="E63" s="655"/>
      <c r="F63" s="655"/>
      <c r="G63" s="655"/>
    </row>
    <row r="64" spans="1:10" ht="14.5" hidden="1" x14ac:dyDescent="0.35">
      <c r="B64" s="681" t="s">
        <v>696</v>
      </c>
      <c r="C64" s="689">
        <f>C58</f>
        <v>-30676.560000000005</v>
      </c>
      <c r="D64" s="689">
        <f>D55</f>
        <v>-111688.51000000001</v>
      </c>
      <c r="E64" s="689">
        <v>-122754</v>
      </c>
      <c r="F64" s="689">
        <v>-119633</v>
      </c>
      <c r="G64" s="689">
        <v>-35833</v>
      </c>
      <c r="H64" s="689">
        <v>29317</v>
      </c>
      <c r="I64" s="689"/>
    </row>
    <row r="65" spans="1:9" ht="14.5" hidden="1" x14ac:dyDescent="0.35">
      <c r="B65" s="681" t="s">
        <v>699</v>
      </c>
      <c r="C65" s="690">
        <f>C58</f>
        <v>-30676.560000000005</v>
      </c>
      <c r="D65" s="690">
        <f>D58</f>
        <v>-142365.07</v>
      </c>
      <c r="E65" s="690">
        <f>D65+E64</f>
        <v>-265119.07</v>
      </c>
      <c r="F65" s="690">
        <f>E65+F64</f>
        <v>-384752.07</v>
      </c>
      <c r="G65" s="690">
        <f>F65+G64</f>
        <v>-420585.07</v>
      </c>
      <c r="H65" s="690">
        <f>G65+H64</f>
        <v>-391268.07</v>
      </c>
      <c r="I65" s="690"/>
    </row>
    <row r="66" spans="1:9" ht="14.5" hidden="1" x14ac:dyDescent="0.35"/>
    <row r="67" spans="1:9" ht="14.5" hidden="1" x14ac:dyDescent="0.35">
      <c r="A67" s="1066" t="s">
        <v>700</v>
      </c>
      <c r="B67" s="1066"/>
      <c r="C67" s="1066"/>
      <c r="D67" s="1066"/>
      <c r="E67" s="1066"/>
      <c r="F67" s="1066"/>
      <c r="G67" s="1066"/>
      <c r="H67" s="1066"/>
      <c r="I67" s="792"/>
    </row>
    <row r="68" spans="1:9" ht="14.5" hidden="1" x14ac:dyDescent="0.35">
      <c r="B68" s="640" t="s">
        <v>546</v>
      </c>
    </row>
    <row r="69" spans="1:9" ht="14.5" hidden="1" x14ac:dyDescent="0.35">
      <c r="B69" s="681" t="s">
        <v>696</v>
      </c>
      <c r="C69" s="691">
        <f>C64</f>
        <v>-30676.560000000005</v>
      </c>
      <c r="D69" s="692">
        <v>-37736</v>
      </c>
      <c r="E69" s="692">
        <v>-89812</v>
      </c>
      <c r="F69" s="692">
        <v>-119633</v>
      </c>
      <c r="G69" s="692">
        <v>-35883</v>
      </c>
      <c r="H69" s="693">
        <v>29317</v>
      </c>
      <c r="I69" s="693"/>
    </row>
    <row r="70" spans="1:9" ht="14.5" hidden="1" x14ac:dyDescent="0.35">
      <c r="B70" s="681" t="s">
        <v>699</v>
      </c>
      <c r="C70" s="690">
        <f>C65</f>
        <v>-30676.560000000005</v>
      </c>
      <c r="D70" s="690">
        <f>C70+D69</f>
        <v>-68412.56</v>
      </c>
      <c r="E70" s="690">
        <f>D70+E69</f>
        <v>-158224.56</v>
      </c>
      <c r="F70" s="690">
        <f>E70+F69</f>
        <v>-277857.56</v>
      </c>
      <c r="G70" s="690">
        <f>F70+G69</f>
        <v>-313740.56</v>
      </c>
      <c r="H70" s="690">
        <f>G70+H69</f>
        <v>-284423.56</v>
      </c>
      <c r="I70" s="690"/>
    </row>
  </sheetData>
  <mergeCells count="2">
    <mergeCell ref="A62:E62"/>
    <mergeCell ref="A67:H67"/>
  </mergeCells>
  <pageMargins left="0.31527777777777799" right="0.31527777777777799" top="0.78749999999999998" bottom="0.78749999999999998" header="0.511811023622047" footer="0.511811023622047"/>
  <pageSetup paperSize="9" scale="64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A300"/>
  <sheetViews>
    <sheetView zoomScale="80" zoomScaleNormal="80" zoomScaleSheetLayoutView="75" workbookViewId="0">
      <pane ySplit="7" topLeftCell="A8" activePane="bottomLeft" state="frozen"/>
      <selection activeCell="J1" sqref="J1"/>
      <selection pane="bottomLeft" activeCell="V299" sqref="V299"/>
    </sheetView>
  </sheetViews>
  <sheetFormatPr baseColWidth="10" defaultColWidth="10.54296875" defaultRowHeight="14.25" customHeight="1" x14ac:dyDescent="0.35"/>
  <cols>
    <col min="2" max="2" width="31.7265625" customWidth="1"/>
    <col min="3" max="3" width="15.81640625" customWidth="1"/>
    <col min="4" max="4" width="12.1796875" customWidth="1"/>
    <col min="5" max="5" width="14.26953125" customWidth="1"/>
    <col min="6" max="6" width="15.81640625" customWidth="1"/>
    <col min="7" max="7" width="14.7265625" customWidth="1"/>
    <col min="8" max="8" width="12.81640625" customWidth="1"/>
    <col min="9" max="9" width="0" hidden="1" customWidth="1"/>
    <col min="10" max="10" width="13.1796875" customWidth="1"/>
    <col min="11" max="11" width="6.1796875" customWidth="1"/>
    <col min="14" max="14" width="34.54296875" customWidth="1"/>
    <col min="15" max="15" width="15.81640625" customWidth="1"/>
    <col min="16" max="16" width="12.1796875" customWidth="1"/>
    <col min="17" max="17" width="14.26953125" customWidth="1"/>
    <col min="18" max="18" width="15.81640625" customWidth="1"/>
    <col min="19" max="19" width="14.7265625" customWidth="1"/>
    <col min="20" max="20" width="12.81640625" customWidth="1"/>
    <col min="21" max="21" width="0" hidden="1" customWidth="1"/>
    <col min="22" max="22" width="13.1796875" customWidth="1"/>
    <col min="27" max="27" width="12.7265625" bestFit="1" customWidth="1"/>
    <col min="16384" max="16384" width="11.54296875" customWidth="1"/>
  </cols>
  <sheetData>
    <row r="2" spans="1:22" ht="21" x14ac:dyDescent="0.5">
      <c r="A2" s="694" t="s">
        <v>701</v>
      </c>
      <c r="C2" s="4">
        <f>+J6</f>
        <v>45688</v>
      </c>
      <c r="M2" s="694" t="s">
        <v>825</v>
      </c>
      <c r="O2" s="4">
        <f>+V6</f>
        <v>45688</v>
      </c>
    </row>
    <row r="5" spans="1:22" ht="14.5" x14ac:dyDescent="0.35">
      <c r="A5" s="5" t="s">
        <v>702</v>
      </c>
      <c r="B5" t="s">
        <v>703</v>
      </c>
      <c r="C5" s="5" t="s">
        <v>704</v>
      </c>
      <c r="D5" s="5" t="s">
        <v>705</v>
      </c>
      <c r="E5" s="5" t="s">
        <v>706</v>
      </c>
      <c r="F5" s="5" t="s">
        <v>707</v>
      </c>
      <c r="G5" s="5" t="s">
        <v>708</v>
      </c>
      <c r="H5" s="5" t="s">
        <v>303</v>
      </c>
      <c r="I5" s="5" t="s">
        <v>709</v>
      </c>
      <c r="J5" s="5" t="s">
        <v>710</v>
      </c>
      <c r="K5" s="5"/>
      <c r="M5" s="5" t="s">
        <v>702</v>
      </c>
      <c r="N5" t="s">
        <v>703</v>
      </c>
      <c r="O5" s="5" t="s">
        <v>704</v>
      </c>
      <c r="P5" s="5" t="s">
        <v>705</v>
      </c>
      <c r="Q5" s="5" t="s">
        <v>706</v>
      </c>
      <c r="R5" s="5" t="s">
        <v>707</v>
      </c>
      <c r="S5" s="5" t="s">
        <v>708</v>
      </c>
      <c r="T5" s="5" t="s">
        <v>830</v>
      </c>
      <c r="U5" s="5" t="s">
        <v>709</v>
      </c>
      <c r="V5" s="5" t="s">
        <v>710</v>
      </c>
    </row>
    <row r="6" spans="1:22" ht="14.5" x14ac:dyDescent="0.35">
      <c r="A6" s="5"/>
      <c r="C6" s="5" t="s">
        <v>711</v>
      </c>
      <c r="D6" s="5" t="s">
        <v>712</v>
      </c>
      <c r="E6" s="5" t="s">
        <v>713</v>
      </c>
      <c r="F6" s="695">
        <v>45323</v>
      </c>
      <c r="G6" s="696"/>
      <c r="H6" s="5"/>
      <c r="I6" s="5"/>
      <c r="J6" s="695">
        <v>45688</v>
      </c>
      <c r="K6" s="695"/>
      <c r="M6" s="5"/>
      <c r="O6" s="5" t="s">
        <v>711</v>
      </c>
      <c r="P6" s="5" t="s">
        <v>712</v>
      </c>
      <c r="Q6" s="5" t="s">
        <v>713</v>
      </c>
      <c r="R6" s="695">
        <v>45323</v>
      </c>
      <c r="S6" s="696"/>
      <c r="T6" s="5"/>
      <c r="U6" s="5"/>
      <c r="V6" s="695">
        <v>45688</v>
      </c>
    </row>
    <row r="7" spans="1:22" ht="14.5" x14ac:dyDescent="0.35">
      <c r="A7" s="697"/>
      <c r="B7" s="698"/>
      <c r="C7" s="697" t="s">
        <v>714</v>
      </c>
      <c r="D7" s="697"/>
      <c r="E7" s="697"/>
      <c r="F7" s="697"/>
      <c r="G7" s="697"/>
      <c r="H7" s="697"/>
      <c r="I7" s="697"/>
      <c r="J7" s="697"/>
      <c r="K7" s="5"/>
      <c r="M7" s="697"/>
      <c r="N7" s="698"/>
      <c r="O7" s="697" t="s">
        <v>714</v>
      </c>
      <c r="P7" s="697"/>
      <c r="Q7" s="697"/>
      <c r="R7" s="697"/>
      <c r="S7" s="697"/>
      <c r="T7" s="697"/>
      <c r="U7" s="697"/>
      <c r="V7" s="697"/>
    </row>
    <row r="8" spans="1:22" ht="14.5" x14ac:dyDescent="0.35">
      <c r="A8" s="5"/>
      <c r="M8" s="5"/>
    </row>
    <row r="9" spans="1:22" ht="14.5" x14ac:dyDescent="0.35">
      <c r="A9" s="5">
        <v>1</v>
      </c>
      <c r="B9" t="s">
        <v>715</v>
      </c>
      <c r="C9" s="696"/>
      <c r="D9" s="699">
        <v>5</v>
      </c>
      <c r="E9" s="700">
        <f>+G9</f>
        <v>13700</v>
      </c>
      <c r="F9" s="701"/>
      <c r="G9" s="701">
        <f>+Saldenlisten24_25!F7</f>
        <v>13700</v>
      </c>
      <c r="H9" s="701">
        <f>-Saldenlisten24_25!G8</f>
        <v>1370</v>
      </c>
      <c r="I9" s="701"/>
      <c r="J9" s="701">
        <f>+F9+G9-H9-I9</f>
        <v>12330</v>
      </c>
      <c r="K9" s="701"/>
      <c r="M9" s="5"/>
    </row>
    <row r="10" spans="1:22" ht="14.5" x14ac:dyDescent="0.35">
      <c r="A10" s="5"/>
      <c r="C10" s="696"/>
      <c r="D10" s="5"/>
      <c r="E10" s="701"/>
      <c r="F10" s="701"/>
      <c r="G10" s="701"/>
      <c r="H10" s="701"/>
      <c r="I10" s="701"/>
      <c r="J10" s="701"/>
      <c r="K10" s="701"/>
      <c r="M10" s="5"/>
    </row>
    <row r="11" spans="1:22" ht="14.5" x14ac:dyDescent="0.35">
      <c r="A11" s="5"/>
      <c r="C11" s="696"/>
      <c r="D11" s="5"/>
      <c r="E11" s="701"/>
      <c r="F11" s="701"/>
      <c r="G11" s="701"/>
      <c r="H11" s="701"/>
      <c r="I11" s="701"/>
      <c r="J11" s="701"/>
      <c r="K11" s="701"/>
      <c r="M11" s="5"/>
    </row>
    <row r="12" spans="1:22" ht="14.5" x14ac:dyDescent="0.35">
      <c r="A12" s="5">
        <v>2</v>
      </c>
      <c r="B12" t="s">
        <v>716</v>
      </c>
      <c r="C12" s="695">
        <v>45597</v>
      </c>
      <c r="D12" s="699">
        <v>15</v>
      </c>
      <c r="E12" s="700">
        <f>+G12</f>
        <v>35664.71</v>
      </c>
      <c r="F12" s="701"/>
      <c r="G12" s="701">
        <f>+Saldenlisten24_25!F9</f>
        <v>35664.71</v>
      </c>
      <c r="H12" s="701"/>
      <c r="I12" s="701"/>
      <c r="J12" s="701">
        <f>+F12+G12-H12-I12</f>
        <v>35664.71</v>
      </c>
      <c r="K12" s="701"/>
      <c r="M12" s="5"/>
    </row>
    <row r="13" spans="1:22" ht="14.5" x14ac:dyDescent="0.35">
      <c r="A13" s="5"/>
      <c r="C13" s="695">
        <v>45931</v>
      </c>
      <c r="D13" s="5"/>
      <c r="E13" s="701"/>
      <c r="F13" s="701"/>
      <c r="G13" s="701"/>
      <c r="H13" s="701"/>
      <c r="I13" s="701"/>
      <c r="J13" s="701"/>
      <c r="K13" s="701"/>
      <c r="M13" s="5"/>
    </row>
    <row r="14" spans="1:22" ht="14.5" x14ac:dyDescent="0.35">
      <c r="A14" s="5"/>
      <c r="C14" s="696"/>
      <c r="D14" s="5"/>
      <c r="E14" s="701"/>
      <c r="F14" s="701"/>
      <c r="G14" s="701"/>
      <c r="H14" s="701"/>
      <c r="I14" s="701"/>
      <c r="J14" s="701"/>
      <c r="K14" s="701"/>
      <c r="M14" s="5"/>
    </row>
    <row r="15" spans="1:22" ht="14.5" x14ac:dyDescent="0.35">
      <c r="A15" s="5">
        <v>3</v>
      </c>
      <c r="B15" t="s">
        <v>717</v>
      </c>
      <c r="C15" s="695">
        <v>45597</v>
      </c>
      <c r="D15" s="699">
        <v>10</v>
      </c>
      <c r="E15" s="700">
        <f>+G15</f>
        <v>1810</v>
      </c>
      <c r="F15" s="701"/>
      <c r="G15" s="701">
        <f>+Saldenlisten24_25!F10</f>
        <v>1810</v>
      </c>
      <c r="H15" s="701">
        <f>-Saldenlisten24_25!G11</f>
        <v>90.5</v>
      </c>
      <c r="I15" s="701"/>
      <c r="J15" s="701">
        <f>+F15+G15-H15-I15</f>
        <v>1719.5</v>
      </c>
      <c r="K15" s="701"/>
      <c r="M15" s="5"/>
    </row>
    <row r="16" spans="1:22" ht="14.5" x14ac:dyDescent="0.35">
      <c r="A16" s="5"/>
      <c r="C16" s="695">
        <v>45931</v>
      </c>
      <c r="E16" s="701"/>
      <c r="F16" s="701"/>
      <c r="G16" s="701"/>
      <c r="H16" s="701"/>
      <c r="I16" s="701"/>
      <c r="J16" s="701"/>
      <c r="K16" s="701"/>
      <c r="M16" s="5"/>
    </row>
    <row r="17" spans="1:22" ht="14.5" x14ac:dyDescent="0.35">
      <c r="A17" s="5"/>
      <c r="C17" s="696"/>
      <c r="E17" s="701"/>
      <c r="F17" s="701"/>
      <c r="G17" s="701"/>
      <c r="H17" s="701"/>
      <c r="I17" s="701"/>
      <c r="J17" s="701"/>
      <c r="K17" s="701"/>
      <c r="M17" s="5"/>
      <c r="O17" s="696"/>
      <c r="Q17" s="701"/>
      <c r="R17" s="701"/>
      <c r="S17" s="701"/>
      <c r="T17" s="701"/>
      <c r="U17" s="701"/>
      <c r="V17" s="701"/>
    </row>
    <row r="18" spans="1:22" ht="14.5" x14ac:dyDescent="0.35">
      <c r="A18" s="5"/>
      <c r="C18" s="696"/>
      <c r="E18" s="701"/>
      <c r="F18" s="701"/>
      <c r="G18" s="701"/>
      <c r="H18" s="701"/>
      <c r="I18" s="701"/>
      <c r="J18" s="701"/>
      <c r="K18" s="701"/>
      <c r="M18" s="5">
        <v>4</v>
      </c>
      <c r="N18" t="s">
        <v>839</v>
      </c>
      <c r="O18" s="696"/>
      <c r="P18" s="699">
        <v>5</v>
      </c>
      <c r="Q18" s="700">
        <f>Foerdergn!AF23</f>
        <v>0</v>
      </c>
      <c r="R18" s="701"/>
      <c r="S18" s="701">
        <f>-SUM(Saldenlisten24_25!G57)</f>
        <v>13150</v>
      </c>
      <c r="T18" s="701">
        <f>S18/P18</f>
        <v>2630</v>
      </c>
      <c r="U18" s="701"/>
      <c r="V18" s="701">
        <f>+R18+S18-T18-U18</f>
        <v>10520</v>
      </c>
    </row>
    <row r="19" spans="1:22" ht="14.5" x14ac:dyDescent="0.35">
      <c r="A19" s="5"/>
      <c r="C19" s="696"/>
      <c r="E19" s="701"/>
      <c r="F19" s="701"/>
      <c r="G19" s="701"/>
      <c r="H19" s="701"/>
      <c r="I19" s="701"/>
      <c r="J19" s="701"/>
      <c r="K19" s="701"/>
      <c r="M19" s="5"/>
      <c r="O19" s="696"/>
      <c r="P19" s="5"/>
      <c r="Q19" s="701"/>
      <c r="R19" s="701"/>
      <c r="S19" s="701"/>
      <c r="T19" s="701"/>
      <c r="U19" s="701"/>
      <c r="V19" s="701"/>
    </row>
    <row r="20" spans="1:22" ht="14.5" x14ac:dyDescent="0.35">
      <c r="A20" s="5"/>
      <c r="C20" s="696"/>
      <c r="E20" s="701"/>
      <c r="F20" s="701"/>
      <c r="G20" s="701"/>
      <c r="H20" s="701"/>
      <c r="I20" s="701"/>
      <c r="J20" s="701"/>
      <c r="K20" s="701"/>
      <c r="M20" s="5"/>
      <c r="O20" s="702"/>
      <c r="Q20" s="701"/>
      <c r="R20" s="701"/>
      <c r="S20" s="701"/>
      <c r="T20" s="701"/>
      <c r="U20" s="701"/>
      <c r="V20" s="701"/>
    </row>
    <row r="21" spans="1:22" ht="14.5" x14ac:dyDescent="0.35">
      <c r="A21" s="697"/>
      <c r="B21" s="698"/>
      <c r="C21" s="698"/>
      <c r="D21" s="698"/>
      <c r="E21" s="698"/>
      <c r="F21" s="703"/>
      <c r="G21" s="703"/>
      <c r="H21" s="704"/>
      <c r="I21" s="704"/>
      <c r="J21" s="704"/>
      <c r="K21" s="701"/>
      <c r="M21" s="697"/>
      <c r="N21" s="698"/>
      <c r="O21" s="698"/>
      <c r="P21" s="698"/>
      <c r="Q21" s="698"/>
      <c r="R21" s="703"/>
      <c r="S21" s="703"/>
      <c r="T21" s="704"/>
      <c r="U21" s="704"/>
      <c r="V21" s="704"/>
    </row>
    <row r="22" spans="1:22" ht="14.5" x14ac:dyDescent="0.35">
      <c r="A22" s="5"/>
      <c r="F22" s="705"/>
      <c r="G22" s="705"/>
      <c r="H22" s="701"/>
      <c r="I22" s="701"/>
      <c r="J22" s="701"/>
      <c r="K22" s="701"/>
      <c r="M22" s="5"/>
      <c r="R22" s="705"/>
      <c r="S22" s="705"/>
      <c r="T22" s="701"/>
      <c r="U22" s="701"/>
      <c r="V22" s="701"/>
    </row>
    <row r="23" spans="1:22" ht="14.5" x14ac:dyDescent="0.35">
      <c r="A23" s="5"/>
      <c r="E23" s="701">
        <f>SUM(E9:E20)</f>
        <v>51174.71</v>
      </c>
      <c r="F23" s="701"/>
      <c r="G23" s="701">
        <f>SUM(G9:G20)</f>
        <v>51174.71</v>
      </c>
      <c r="H23" s="701"/>
      <c r="I23" s="701"/>
      <c r="J23" s="701">
        <f>SUM(J9:J20)</f>
        <v>49714.21</v>
      </c>
      <c r="K23" s="701"/>
      <c r="M23" s="5"/>
      <c r="Q23" s="701">
        <f>SUM(Q9:Q20)</f>
        <v>0</v>
      </c>
      <c r="R23" s="701"/>
      <c r="S23" s="701">
        <f>SUM(S9:S20)</f>
        <v>13150</v>
      </c>
      <c r="T23" s="701"/>
      <c r="U23" s="701"/>
      <c r="V23" s="701">
        <f>SUM(V9:V20)</f>
        <v>10520</v>
      </c>
    </row>
    <row r="24" spans="1:22" ht="15" thickBot="1" x14ac:dyDescent="0.4">
      <c r="A24" s="706"/>
      <c r="B24" s="707"/>
      <c r="C24" s="707"/>
      <c r="D24" s="707"/>
      <c r="E24" s="707"/>
      <c r="F24" s="708"/>
      <c r="G24" s="708"/>
      <c r="H24" s="709"/>
      <c r="I24" s="709"/>
      <c r="J24" s="709"/>
      <c r="K24" s="701"/>
      <c r="M24" s="706"/>
      <c r="N24" s="707"/>
      <c r="O24" s="707"/>
      <c r="P24" s="707"/>
      <c r="Q24" s="707"/>
      <c r="R24" s="708"/>
      <c r="S24" s="708"/>
      <c r="T24" s="709"/>
      <c r="U24" s="709"/>
      <c r="V24" s="709"/>
    </row>
    <row r="25" spans="1:22" ht="14.25" customHeight="1" thickTop="1" x14ac:dyDescent="0.35"/>
    <row r="28" spans="1:22" ht="21" x14ac:dyDescent="0.5">
      <c r="A28" s="694" t="s">
        <v>719</v>
      </c>
      <c r="C28" s="4">
        <f>+J32</f>
        <v>46053</v>
      </c>
      <c r="M28" s="694" t="s">
        <v>826</v>
      </c>
      <c r="O28" s="4">
        <f>+V32</f>
        <v>46053</v>
      </c>
    </row>
    <row r="31" spans="1:22" ht="14.5" x14ac:dyDescent="0.35">
      <c r="A31" s="5" t="s">
        <v>702</v>
      </c>
      <c r="B31" t="s">
        <v>703</v>
      </c>
      <c r="C31" s="5" t="s">
        <v>704</v>
      </c>
      <c r="D31" s="5" t="s">
        <v>705</v>
      </c>
      <c r="E31" s="5" t="s">
        <v>706</v>
      </c>
      <c r="F31" s="5" t="s">
        <v>707</v>
      </c>
      <c r="G31" s="5" t="s">
        <v>708</v>
      </c>
      <c r="H31" s="5" t="s">
        <v>303</v>
      </c>
      <c r="I31" s="5" t="s">
        <v>709</v>
      </c>
      <c r="J31" s="5" t="s">
        <v>710</v>
      </c>
      <c r="M31" s="5" t="s">
        <v>702</v>
      </c>
      <c r="N31" t="s">
        <v>703</v>
      </c>
      <c r="O31" s="5" t="s">
        <v>704</v>
      </c>
      <c r="P31" s="5" t="s">
        <v>705</v>
      </c>
      <c r="Q31" s="5" t="s">
        <v>706</v>
      </c>
      <c r="R31" s="5" t="s">
        <v>707</v>
      </c>
      <c r="S31" s="5" t="s">
        <v>708</v>
      </c>
      <c r="T31" s="5" t="s">
        <v>830</v>
      </c>
      <c r="U31" s="5" t="s">
        <v>709</v>
      </c>
      <c r="V31" s="5" t="s">
        <v>710</v>
      </c>
    </row>
    <row r="32" spans="1:22" ht="14.5" x14ac:dyDescent="0.35">
      <c r="A32" s="5"/>
      <c r="C32" s="5" t="s">
        <v>711</v>
      </c>
      <c r="D32" s="5" t="s">
        <v>712</v>
      </c>
      <c r="E32" s="5" t="s">
        <v>713</v>
      </c>
      <c r="F32" s="695">
        <v>45689</v>
      </c>
      <c r="G32" s="696"/>
      <c r="H32" s="5"/>
      <c r="I32" s="5"/>
      <c r="J32" s="695">
        <v>46053</v>
      </c>
      <c r="M32" s="5"/>
      <c r="O32" s="5" t="s">
        <v>711</v>
      </c>
      <c r="P32" s="5" t="s">
        <v>712</v>
      </c>
      <c r="Q32" s="5" t="s">
        <v>713</v>
      </c>
      <c r="R32" s="695">
        <v>45689</v>
      </c>
      <c r="S32" s="696"/>
      <c r="T32" s="5"/>
      <c r="U32" s="5"/>
      <c r="V32" s="695">
        <v>46053</v>
      </c>
    </row>
    <row r="33" spans="1:22" ht="14.5" x14ac:dyDescent="0.35">
      <c r="A33" s="697"/>
      <c r="B33" s="698"/>
      <c r="C33" s="697" t="s">
        <v>714</v>
      </c>
      <c r="D33" s="697"/>
      <c r="E33" s="697"/>
      <c r="F33" s="697"/>
      <c r="G33" s="697"/>
      <c r="H33" s="697"/>
      <c r="I33" s="697"/>
      <c r="J33" s="697"/>
      <c r="M33" s="697"/>
      <c r="N33" s="698"/>
      <c r="O33" s="697" t="s">
        <v>714</v>
      </c>
      <c r="P33" s="697"/>
      <c r="Q33" s="697"/>
      <c r="R33" s="697"/>
      <c r="S33" s="697"/>
      <c r="T33" s="697"/>
      <c r="U33" s="697"/>
      <c r="V33" s="697"/>
    </row>
    <row r="34" spans="1:22" ht="14.5" x14ac:dyDescent="0.35">
      <c r="A34" s="5"/>
      <c r="M34" s="5"/>
    </row>
    <row r="35" spans="1:22" ht="14.5" x14ac:dyDescent="0.35">
      <c r="A35" s="5">
        <v>1</v>
      </c>
      <c r="B35" t="s">
        <v>720</v>
      </c>
      <c r="C35" s="695">
        <v>45689</v>
      </c>
      <c r="D35" s="5">
        <f>+D$9</f>
        <v>5</v>
      </c>
      <c r="E35" s="701">
        <f>+G9</f>
        <v>13700</v>
      </c>
      <c r="F35" s="701">
        <f>+J9</f>
        <v>12330</v>
      </c>
      <c r="H35" s="701">
        <f>+E35/D35</f>
        <v>2740</v>
      </c>
      <c r="I35" s="701"/>
      <c r="J35" s="782">
        <f>+F35+G35-H35-I35</f>
        <v>9590</v>
      </c>
      <c r="M35" s="5"/>
    </row>
    <row r="36" spans="1:22" ht="14.5" x14ac:dyDescent="0.35">
      <c r="A36" s="5"/>
      <c r="C36" s="695">
        <v>45931</v>
      </c>
      <c r="D36" s="5"/>
      <c r="E36" s="701"/>
      <c r="F36" s="701"/>
      <c r="G36" s="705"/>
      <c r="H36" s="701"/>
      <c r="I36" s="701"/>
      <c r="J36" s="701"/>
      <c r="M36" s="5"/>
    </row>
    <row r="37" spans="1:22" ht="14.5" x14ac:dyDescent="0.35">
      <c r="A37" s="5"/>
      <c r="C37" s="695"/>
      <c r="D37" s="5"/>
      <c r="E37" s="701"/>
      <c r="F37" s="701"/>
      <c r="G37" s="705"/>
      <c r="H37" s="701"/>
      <c r="I37" s="701"/>
      <c r="J37" s="701"/>
      <c r="M37" s="5"/>
    </row>
    <row r="38" spans="1:22" ht="14.5" x14ac:dyDescent="0.35">
      <c r="A38" s="710" t="s">
        <v>721</v>
      </c>
      <c r="B38" t="s">
        <v>720</v>
      </c>
      <c r="C38" s="695">
        <v>45809</v>
      </c>
      <c r="D38" s="5">
        <v>5</v>
      </c>
      <c r="E38">
        <v>0</v>
      </c>
      <c r="F38" s="701"/>
      <c r="G38" s="705">
        <f>SUM(Investitionen!V9:AG11)+SUM(Investitionen!V13:AJ13)</f>
        <v>69250</v>
      </c>
      <c r="H38" s="701">
        <f>+G38/D38/2</f>
        <v>6925</v>
      </c>
      <c r="I38" s="701"/>
      <c r="J38" s="782">
        <f>+F38+G38-H38-I38</f>
        <v>62325</v>
      </c>
      <c r="L38" s="783">
        <f>+J35+J38</f>
        <v>71915</v>
      </c>
      <c r="M38" s="5"/>
    </row>
    <row r="39" spans="1:22" ht="14.5" x14ac:dyDescent="0.35">
      <c r="A39" s="5"/>
      <c r="C39" s="695">
        <v>45931</v>
      </c>
      <c r="D39" s="5"/>
      <c r="E39" s="701"/>
      <c r="F39" s="701"/>
      <c r="G39" s="705"/>
      <c r="H39" s="701"/>
      <c r="I39" s="701"/>
      <c r="J39" s="701"/>
      <c r="M39" s="5"/>
    </row>
    <row r="40" spans="1:22" ht="14.5" x14ac:dyDescent="0.35">
      <c r="A40" s="5"/>
      <c r="C40" s="695"/>
      <c r="D40" s="5"/>
      <c r="E40" s="701"/>
      <c r="F40" s="701"/>
      <c r="G40" s="705"/>
      <c r="H40" s="701"/>
      <c r="I40" s="701"/>
      <c r="J40" s="701"/>
      <c r="M40" s="5"/>
    </row>
    <row r="41" spans="1:22" ht="14.5" x14ac:dyDescent="0.35">
      <c r="A41" s="5">
        <v>2</v>
      </c>
      <c r="B41" t="s">
        <v>716</v>
      </c>
      <c r="C41" s="695">
        <v>45597</v>
      </c>
      <c r="D41" s="5">
        <f>+D$12</f>
        <v>15</v>
      </c>
      <c r="E41" s="701">
        <f>+J12</f>
        <v>35664.71</v>
      </c>
      <c r="F41" s="701">
        <f>+J12</f>
        <v>35664.71</v>
      </c>
      <c r="G41" s="705"/>
      <c r="H41" s="701">
        <f>+F41/D41/2</f>
        <v>1188.8236666666667</v>
      </c>
      <c r="I41" s="701"/>
      <c r="J41" s="711">
        <f>+F41+G41-H41-I41</f>
        <v>34475.886333333336</v>
      </c>
      <c r="M41" s="5"/>
    </row>
    <row r="42" spans="1:22" ht="14.5" x14ac:dyDescent="0.35">
      <c r="A42" s="5"/>
      <c r="C42" s="695">
        <v>45931</v>
      </c>
      <c r="D42" s="5"/>
      <c r="E42" s="701"/>
      <c r="F42" s="701"/>
      <c r="G42" s="705"/>
      <c r="H42" s="701"/>
      <c r="I42" s="701"/>
      <c r="J42" s="701"/>
      <c r="M42" s="5"/>
    </row>
    <row r="43" spans="1:22" ht="14.5" x14ac:dyDescent="0.35">
      <c r="A43" s="5"/>
      <c r="C43" s="695"/>
      <c r="D43" s="5"/>
      <c r="E43" s="701"/>
      <c r="F43" s="701"/>
      <c r="G43" s="705"/>
      <c r="H43" s="701"/>
      <c r="I43" s="701"/>
      <c r="J43" s="701"/>
      <c r="M43" s="5"/>
    </row>
    <row r="44" spans="1:22" ht="14.5" x14ac:dyDescent="0.35">
      <c r="A44" s="710" t="s">
        <v>722</v>
      </c>
      <c r="B44" t="s">
        <v>716</v>
      </c>
      <c r="C44" s="695">
        <v>45717</v>
      </c>
      <c r="D44" s="5">
        <v>15</v>
      </c>
      <c r="E44" s="701">
        <v>0</v>
      </c>
      <c r="F44" s="701"/>
      <c r="G44" s="705">
        <f>Investitionen!AG70</f>
        <v>938574.01</v>
      </c>
      <c r="H44" s="701">
        <f>+G44/D44/2</f>
        <v>31285.800333333333</v>
      </c>
      <c r="I44" s="701"/>
      <c r="J44" s="711">
        <f>+F44+G44-H44-I44</f>
        <v>907288.20966666669</v>
      </c>
      <c r="L44" s="711">
        <f>+J41+J44</f>
        <v>941764.09600000002</v>
      </c>
      <c r="M44" s="5"/>
    </row>
    <row r="45" spans="1:22" ht="14.5" x14ac:dyDescent="0.35">
      <c r="A45" s="5"/>
      <c r="C45" s="695">
        <v>45931</v>
      </c>
      <c r="D45" s="5"/>
      <c r="E45" s="701"/>
      <c r="F45" s="701"/>
      <c r="G45" s="705"/>
      <c r="H45" s="701"/>
      <c r="I45" s="701"/>
      <c r="J45" s="701"/>
      <c r="M45" s="5"/>
    </row>
    <row r="46" spans="1:22" ht="14.5" x14ac:dyDescent="0.35">
      <c r="A46" s="5"/>
      <c r="C46" s="695"/>
      <c r="D46" s="5"/>
      <c r="E46" s="701"/>
      <c r="F46" s="701"/>
      <c r="G46" s="705"/>
      <c r="H46" s="701"/>
      <c r="I46" s="701"/>
      <c r="J46" s="701"/>
      <c r="M46" s="5"/>
    </row>
    <row r="47" spans="1:22" ht="14.5" x14ac:dyDescent="0.35">
      <c r="A47" s="5">
        <v>3</v>
      </c>
      <c r="B47" t="s">
        <v>723</v>
      </c>
      <c r="C47" s="695">
        <v>45597</v>
      </c>
      <c r="D47" s="5">
        <f>+D$15</f>
        <v>10</v>
      </c>
      <c r="E47" s="701">
        <f>+E15</f>
        <v>1810</v>
      </c>
      <c r="F47" s="701">
        <f>+J15</f>
        <v>1719.5</v>
      </c>
      <c r="G47" s="705"/>
      <c r="H47" s="701">
        <f>+F47/D47</f>
        <v>171.95</v>
      </c>
      <c r="I47" s="701"/>
      <c r="J47" s="784">
        <f>+F47+G47-H47-I47</f>
        <v>1547.55</v>
      </c>
      <c r="M47" s="5"/>
    </row>
    <row r="48" spans="1:22" ht="14.5" x14ac:dyDescent="0.35">
      <c r="A48" s="5"/>
      <c r="C48" s="695">
        <v>45931</v>
      </c>
      <c r="D48" s="5"/>
      <c r="E48" s="701"/>
      <c r="F48" s="701"/>
      <c r="G48" s="705"/>
      <c r="H48" s="701"/>
      <c r="I48" s="701"/>
      <c r="J48" s="701"/>
      <c r="M48" s="5"/>
    </row>
    <row r="49" spans="1:27" ht="14.5" x14ac:dyDescent="0.35">
      <c r="A49" s="5"/>
      <c r="C49" s="695"/>
      <c r="D49" s="5"/>
      <c r="E49" s="701"/>
      <c r="F49" s="701"/>
      <c r="G49" s="705"/>
      <c r="H49" s="701"/>
      <c r="I49" s="701"/>
      <c r="J49" s="701"/>
      <c r="M49" s="5"/>
    </row>
    <row r="50" spans="1:27" ht="14.5" x14ac:dyDescent="0.35">
      <c r="A50" s="710" t="s">
        <v>724</v>
      </c>
      <c r="B50" t="s">
        <v>723</v>
      </c>
      <c r="C50" s="695">
        <v>45717</v>
      </c>
      <c r="D50" s="5">
        <v>10</v>
      </c>
      <c r="E50" s="701">
        <f>+Investitionen!AC20</f>
        <v>0</v>
      </c>
      <c r="F50" s="701"/>
      <c r="G50" s="705">
        <f>SUM(Investitionen!V6:AG8)+SUM(Investitionen!V12:AG16)-Investitionen!AD13</f>
        <v>35750</v>
      </c>
      <c r="H50" s="701">
        <f>+G50/D50/2</f>
        <v>1787.5</v>
      </c>
      <c r="I50" s="701"/>
      <c r="J50" s="784">
        <f>+F50+G50-H50-I50</f>
        <v>33962.5</v>
      </c>
      <c r="L50" s="785">
        <f>+J47+J50</f>
        <v>35510.050000000003</v>
      </c>
      <c r="M50" s="5"/>
    </row>
    <row r="51" spans="1:27" ht="14.5" x14ac:dyDescent="0.35">
      <c r="A51" s="5"/>
      <c r="C51" s="695">
        <v>45931</v>
      </c>
      <c r="D51" s="5"/>
      <c r="E51" s="701"/>
      <c r="F51" s="701"/>
      <c r="G51" s="705"/>
      <c r="H51" s="701"/>
      <c r="I51" s="701"/>
      <c r="J51" s="701"/>
      <c r="M51" s="5"/>
    </row>
    <row r="52" spans="1:27" ht="14.5" x14ac:dyDescent="0.35">
      <c r="A52" s="5"/>
      <c r="C52" s="695"/>
      <c r="D52" s="5"/>
      <c r="E52" s="701"/>
      <c r="F52" s="701"/>
      <c r="G52" s="705"/>
      <c r="H52" s="701"/>
      <c r="I52" s="701"/>
      <c r="J52" s="701"/>
      <c r="K52" s="701"/>
      <c r="M52" s="5"/>
      <c r="O52" s="695"/>
      <c r="P52" s="5"/>
      <c r="Q52" s="701"/>
      <c r="R52" s="701"/>
      <c r="S52" s="705"/>
      <c r="T52" s="701"/>
      <c r="U52" s="701"/>
      <c r="V52" s="701"/>
    </row>
    <row r="53" spans="1:27" ht="14.5" x14ac:dyDescent="0.35">
      <c r="A53" s="5"/>
      <c r="C53" s="695"/>
      <c r="D53" s="5"/>
      <c r="E53" s="701"/>
      <c r="F53" s="701"/>
      <c r="G53" s="705"/>
      <c r="H53" s="701"/>
      <c r="I53" s="701"/>
      <c r="J53" s="701"/>
      <c r="K53" s="701"/>
      <c r="M53" s="5">
        <v>4</v>
      </c>
      <c r="N53" t="s">
        <v>840</v>
      </c>
      <c r="O53" s="695">
        <v>45597</v>
      </c>
      <c r="P53" s="5">
        <f>+P$18</f>
        <v>5</v>
      </c>
      <c r="Q53" s="701">
        <f>S18</f>
        <v>13150</v>
      </c>
      <c r="R53" s="701">
        <f>+V18</f>
        <v>10520</v>
      </c>
      <c r="S53" s="701"/>
      <c r="T53" s="701">
        <f>+Q53/P53/2</f>
        <v>1315</v>
      </c>
      <c r="U53" s="701"/>
      <c r="V53" s="712">
        <f>+R53+S53-T53-U53</f>
        <v>9205</v>
      </c>
    </row>
    <row r="54" spans="1:27" ht="14.5" x14ac:dyDescent="0.35">
      <c r="A54" s="5"/>
      <c r="C54" s="695"/>
      <c r="D54" s="5"/>
      <c r="E54" s="701"/>
      <c r="F54" s="701"/>
      <c r="G54" s="705"/>
      <c r="H54" s="701"/>
      <c r="I54" s="701"/>
      <c r="J54" s="701"/>
      <c r="K54" s="701"/>
      <c r="M54" s="5"/>
      <c r="O54" s="695">
        <v>45931</v>
      </c>
      <c r="P54" s="5"/>
      <c r="Q54" s="701"/>
      <c r="R54" s="701"/>
      <c r="S54" s="701"/>
      <c r="T54" s="701"/>
      <c r="U54" s="701"/>
      <c r="V54" s="701"/>
    </row>
    <row r="55" spans="1:27" ht="14.5" x14ac:dyDescent="0.35">
      <c r="A55" s="5"/>
      <c r="C55" s="695"/>
      <c r="D55" s="5"/>
      <c r="E55" s="701"/>
      <c r="F55" s="701"/>
      <c r="G55" s="705"/>
      <c r="H55" s="701"/>
      <c r="I55" s="701"/>
      <c r="J55" s="701"/>
      <c r="K55" s="701"/>
      <c r="M55" s="5"/>
      <c r="O55" s="695"/>
      <c r="P55" s="5"/>
      <c r="Q55" s="701"/>
      <c r="R55" s="701"/>
      <c r="S55" s="705"/>
      <c r="T55" s="701"/>
      <c r="U55" s="701"/>
      <c r="V55" s="701"/>
    </row>
    <row r="56" spans="1:27" ht="14.5" x14ac:dyDescent="0.35">
      <c r="A56" s="5"/>
      <c r="C56" s="695"/>
      <c r="D56" s="5"/>
      <c r="E56" s="701"/>
      <c r="F56" s="701"/>
      <c r="G56" s="705"/>
      <c r="H56" s="701"/>
      <c r="I56" s="701"/>
      <c r="J56" s="701"/>
      <c r="K56" s="701"/>
      <c r="M56" s="710" t="s">
        <v>725</v>
      </c>
      <c r="N56" t="s">
        <v>718</v>
      </c>
      <c r="O56" s="695">
        <v>45778</v>
      </c>
      <c r="P56" s="5">
        <v>15</v>
      </c>
      <c r="Q56" s="701"/>
      <c r="R56" s="701"/>
      <c r="S56" s="705">
        <f>Foerdergn!E14+Foerdergn!E15+Foerdergn!E20+Foerdergn!E13*0.9</f>
        <v>133275</v>
      </c>
      <c r="T56" s="701">
        <f>+S56/P56</f>
        <v>8885</v>
      </c>
      <c r="U56" s="701"/>
      <c r="V56" s="712">
        <f>+R56+S56-T56-U56</f>
        <v>124390</v>
      </c>
      <c r="Y56" t="s">
        <v>833</v>
      </c>
      <c r="AA56" s="780" t="e">
        <f>+Foerdergn!E30</f>
        <v>#REF!</v>
      </c>
    </row>
    <row r="57" spans="1:27" ht="14.5" x14ac:dyDescent="0.35">
      <c r="A57" s="5"/>
      <c r="C57" s="695">
        <v>45931</v>
      </c>
      <c r="D57" s="5"/>
      <c r="E57" s="701"/>
      <c r="F57" s="701"/>
      <c r="G57" s="705"/>
      <c r="H57" s="701"/>
      <c r="I57" s="701"/>
      <c r="J57" s="701"/>
      <c r="K57" s="701"/>
      <c r="M57" s="5"/>
      <c r="O57" s="695">
        <v>45931</v>
      </c>
      <c r="P57" s="5"/>
      <c r="Q57" s="701"/>
      <c r="R57" s="701"/>
      <c r="S57" s="705"/>
      <c r="T57" s="701"/>
      <c r="U57" s="701"/>
      <c r="Y57" t="s">
        <v>832</v>
      </c>
      <c r="AA57" s="780">
        <f>-Bil!F37</f>
        <v>-135480</v>
      </c>
    </row>
    <row r="58" spans="1:27" ht="14.5" x14ac:dyDescent="0.35">
      <c r="A58" s="5"/>
      <c r="C58" s="695"/>
      <c r="D58" s="5"/>
      <c r="E58" s="701"/>
      <c r="F58" s="701"/>
      <c r="G58" s="705"/>
      <c r="H58" s="701"/>
      <c r="I58" s="701"/>
      <c r="J58" s="701"/>
      <c r="K58" s="701"/>
      <c r="M58" s="5"/>
      <c r="O58" s="695"/>
      <c r="P58" s="5"/>
      <c r="Q58" s="701"/>
      <c r="R58" s="701"/>
      <c r="S58" s="705"/>
      <c r="T58" s="701"/>
      <c r="U58" s="701"/>
      <c r="AA58" s="780"/>
    </row>
    <row r="59" spans="1:27" ht="14.5" x14ac:dyDescent="0.35">
      <c r="A59" s="5"/>
      <c r="C59" s="695"/>
      <c r="D59" s="5"/>
      <c r="E59" s="701"/>
      <c r="F59" s="701"/>
      <c r="G59" s="705"/>
      <c r="H59" s="701"/>
      <c r="I59" s="701"/>
      <c r="J59" s="701"/>
      <c r="K59" s="701"/>
      <c r="M59" s="5" t="s">
        <v>838</v>
      </c>
      <c r="N59" t="s">
        <v>841</v>
      </c>
      <c r="O59" s="695">
        <v>45778</v>
      </c>
      <c r="P59" s="5">
        <v>5</v>
      </c>
      <c r="Q59" s="701"/>
      <c r="R59" s="701"/>
      <c r="S59" s="705">
        <f>Foerdergn!E8</f>
        <v>20500</v>
      </c>
      <c r="T59" s="701">
        <f>S59/P59</f>
        <v>4100</v>
      </c>
      <c r="U59" s="701"/>
      <c r="V59" s="712">
        <f t="shared" ref="V59" si="0">+R59+S59-T59-U59</f>
        <v>16400</v>
      </c>
      <c r="AA59" s="780"/>
    </row>
    <row r="60" spans="1:27" ht="14.5" x14ac:dyDescent="0.35">
      <c r="A60" s="5"/>
      <c r="C60" s="695"/>
      <c r="D60" s="5"/>
      <c r="E60" s="701"/>
      <c r="F60" s="701"/>
      <c r="G60" s="705"/>
      <c r="H60" s="701"/>
      <c r="I60" s="701"/>
      <c r="J60" s="701"/>
      <c r="K60" s="701"/>
      <c r="M60" s="5"/>
      <c r="O60" s="695">
        <v>45931</v>
      </c>
      <c r="P60" s="5"/>
      <c r="Q60" s="701"/>
      <c r="R60" s="701"/>
      <c r="S60" s="705"/>
      <c r="T60" s="701"/>
      <c r="U60" s="701"/>
      <c r="V60" s="701"/>
      <c r="AA60" s="780"/>
    </row>
    <row r="61" spans="1:27" ht="14.5" x14ac:dyDescent="0.35">
      <c r="A61" s="697"/>
      <c r="B61" s="698"/>
      <c r="C61" s="697"/>
      <c r="D61" s="697"/>
      <c r="E61" s="704"/>
      <c r="F61" s="704"/>
      <c r="G61" s="703"/>
      <c r="H61" s="704"/>
      <c r="I61" s="704"/>
      <c r="J61" s="704"/>
      <c r="K61" s="701"/>
      <c r="M61" s="697"/>
      <c r="N61" s="698"/>
      <c r="P61" s="697"/>
      <c r="Q61" s="704"/>
      <c r="R61" s="704"/>
      <c r="S61" s="703"/>
      <c r="T61" s="704"/>
      <c r="U61" s="704"/>
      <c r="V61" s="704"/>
      <c r="Y61" t="s">
        <v>834</v>
      </c>
      <c r="AA61" s="780">
        <f>-GV!D11</f>
        <v>-82354</v>
      </c>
    </row>
    <row r="62" spans="1:27" ht="14.5" x14ac:dyDescent="0.35">
      <c r="A62" s="5"/>
      <c r="F62" s="705"/>
      <c r="G62" s="705"/>
      <c r="H62" s="701"/>
      <c r="I62" s="701"/>
      <c r="J62" s="701"/>
      <c r="K62" s="701"/>
      <c r="M62" s="5"/>
      <c r="R62" s="705"/>
      <c r="S62" s="705"/>
      <c r="T62" s="701"/>
      <c r="U62" s="701"/>
      <c r="V62" s="701"/>
      <c r="Y62" t="s">
        <v>835</v>
      </c>
      <c r="AA62" s="781">
        <f>-S102</f>
        <v>0</v>
      </c>
    </row>
    <row r="63" spans="1:27" ht="14.5" x14ac:dyDescent="0.35">
      <c r="A63" s="5"/>
      <c r="E63" s="705">
        <f>SUM(E34:E61)</f>
        <v>51174.71</v>
      </c>
      <c r="F63" s="705">
        <f>SUM(F34:F61)</f>
        <v>49714.21</v>
      </c>
      <c r="G63" s="701">
        <f>SUM(G35:G57)</f>
        <v>1043574.01</v>
      </c>
      <c r="H63" s="713">
        <f>SUM(H35:H57)</f>
        <v>44099.073999999993</v>
      </c>
      <c r="I63" s="701"/>
      <c r="J63" s="713">
        <f>SUM(J35:J57)</f>
        <v>1049189.1460000002</v>
      </c>
      <c r="K63" s="713"/>
      <c r="M63" s="5"/>
      <c r="Q63" s="705">
        <f>SUM(Q34:Q61)</f>
        <v>13150</v>
      </c>
      <c r="R63" s="705">
        <f>SUM(R34:R61)</f>
        <v>10520</v>
      </c>
      <c r="S63" s="701">
        <f>SUM(S35:S57)</f>
        <v>133275</v>
      </c>
      <c r="T63" s="713">
        <f>SUM(T35:T57)</f>
        <v>10200</v>
      </c>
      <c r="U63" s="701"/>
      <c r="V63" s="713">
        <f>SUM(V35:V57)</f>
        <v>133595</v>
      </c>
      <c r="Y63" t="s">
        <v>836</v>
      </c>
      <c r="AA63" s="780" t="e">
        <f>SUM(AA56:AA62)</f>
        <v>#REF!</v>
      </c>
    </row>
    <row r="64" spans="1:27" ht="15" thickBot="1" x14ac:dyDescent="0.4">
      <c r="A64" s="706"/>
      <c r="B64" s="707"/>
      <c r="C64" s="707"/>
      <c r="D64" s="707"/>
      <c r="E64" s="707"/>
      <c r="F64" s="708"/>
      <c r="G64" s="708"/>
      <c r="H64" s="709"/>
      <c r="I64" s="709"/>
      <c r="J64" s="709"/>
      <c r="K64" s="701"/>
      <c r="M64" s="706"/>
      <c r="N64" s="707"/>
      <c r="O64" s="707"/>
      <c r="P64" s="707"/>
      <c r="Q64" s="707"/>
      <c r="R64" s="708"/>
      <c r="S64" s="708"/>
      <c r="T64" s="709"/>
      <c r="U64" s="709"/>
      <c r="V64" s="709"/>
    </row>
    <row r="65" spans="1:22" ht="15" thickTop="1" x14ac:dyDescent="0.35"/>
    <row r="68" spans="1:22" ht="21" x14ac:dyDescent="0.5">
      <c r="A68" s="694" t="s">
        <v>726</v>
      </c>
      <c r="C68" s="4">
        <f>+J72</f>
        <v>46418</v>
      </c>
      <c r="M68" s="694" t="s">
        <v>827</v>
      </c>
      <c r="O68" s="4">
        <f>+V72</f>
        <v>46418</v>
      </c>
    </row>
    <row r="69" spans="1:22" ht="14.5" x14ac:dyDescent="0.35"/>
    <row r="70" spans="1:22" ht="14.5" x14ac:dyDescent="0.35"/>
    <row r="71" spans="1:22" ht="14.5" x14ac:dyDescent="0.35">
      <c r="A71" s="5" t="s">
        <v>702</v>
      </c>
      <c r="B71" t="s">
        <v>703</v>
      </c>
      <c r="C71" s="5" t="s">
        <v>704</v>
      </c>
      <c r="D71" s="5" t="s">
        <v>705</v>
      </c>
      <c r="E71" s="5" t="s">
        <v>706</v>
      </c>
      <c r="F71" s="5" t="s">
        <v>707</v>
      </c>
      <c r="G71" s="5" t="s">
        <v>708</v>
      </c>
      <c r="H71" s="5" t="s">
        <v>303</v>
      </c>
      <c r="I71" s="5" t="s">
        <v>709</v>
      </c>
      <c r="J71" s="5" t="s">
        <v>710</v>
      </c>
      <c r="K71" s="5"/>
      <c r="M71" s="5" t="s">
        <v>702</v>
      </c>
      <c r="N71" t="s">
        <v>703</v>
      </c>
      <c r="O71" s="5" t="s">
        <v>704</v>
      </c>
      <c r="P71" s="5" t="s">
        <v>705</v>
      </c>
      <c r="Q71" s="5" t="s">
        <v>706</v>
      </c>
      <c r="R71" s="5" t="s">
        <v>707</v>
      </c>
      <c r="S71" s="5" t="s">
        <v>708</v>
      </c>
      <c r="T71" s="5" t="s">
        <v>830</v>
      </c>
      <c r="U71" s="5" t="s">
        <v>709</v>
      </c>
      <c r="V71" s="5" t="s">
        <v>710</v>
      </c>
    </row>
    <row r="72" spans="1:22" ht="14.5" x14ac:dyDescent="0.35">
      <c r="A72" s="5"/>
      <c r="C72" s="5" t="s">
        <v>711</v>
      </c>
      <c r="D72" s="5" t="s">
        <v>712</v>
      </c>
      <c r="E72" s="5" t="s">
        <v>713</v>
      </c>
      <c r="F72" s="695">
        <v>46054</v>
      </c>
      <c r="G72" s="696"/>
      <c r="H72" s="5"/>
      <c r="I72" s="5"/>
      <c r="J72" s="695">
        <v>46418</v>
      </c>
      <c r="K72" s="695"/>
      <c r="M72" s="5"/>
      <c r="O72" s="5" t="s">
        <v>711</v>
      </c>
      <c r="P72" s="5" t="s">
        <v>712</v>
      </c>
      <c r="Q72" s="5" t="s">
        <v>713</v>
      </c>
      <c r="R72" s="695">
        <v>46054</v>
      </c>
      <c r="S72" s="696"/>
      <c r="T72" s="5"/>
      <c r="U72" s="5"/>
      <c r="V72" s="695">
        <v>46418</v>
      </c>
    </row>
    <row r="73" spans="1:22" ht="14.5" x14ac:dyDescent="0.35">
      <c r="A73" s="697"/>
      <c r="B73" s="698"/>
      <c r="C73" s="697" t="s">
        <v>714</v>
      </c>
      <c r="D73" s="697"/>
      <c r="E73" s="697"/>
      <c r="F73" s="697"/>
      <c r="G73" s="697"/>
      <c r="H73" s="697"/>
      <c r="I73" s="697"/>
      <c r="J73" s="697"/>
      <c r="K73" s="5"/>
      <c r="M73" s="697"/>
      <c r="N73" s="698"/>
      <c r="O73" s="697" t="s">
        <v>714</v>
      </c>
      <c r="P73" s="697"/>
      <c r="Q73" s="697"/>
      <c r="R73" s="697"/>
      <c r="S73" s="697"/>
      <c r="T73" s="697"/>
      <c r="U73" s="697"/>
      <c r="V73" s="697"/>
    </row>
    <row r="74" spans="1:22" ht="14.5" x14ac:dyDescent="0.35">
      <c r="A74" s="5"/>
      <c r="M74" s="5"/>
    </row>
    <row r="75" spans="1:22" ht="14.5" x14ac:dyDescent="0.35">
      <c r="A75" s="5">
        <v>1</v>
      </c>
      <c r="B75" t="s">
        <v>720</v>
      </c>
      <c r="C75" s="695">
        <v>45689</v>
      </c>
      <c r="D75" s="5">
        <f>+D$9</f>
        <v>5</v>
      </c>
      <c r="E75" s="701">
        <f>+E35</f>
        <v>13700</v>
      </c>
      <c r="F75" s="701">
        <f>+J35</f>
        <v>9590</v>
      </c>
      <c r="G75" s="701"/>
      <c r="H75" s="701">
        <f>+E75/D75</f>
        <v>2740</v>
      </c>
      <c r="I75" s="701"/>
      <c r="J75" s="783">
        <f>+F75+G75-H75-I75</f>
        <v>6850</v>
      </c>
      <c r="K75" s="701"/>
      <c r="M75" s="5"/>
    </row>
    <row r="76" spans="1:22" ht="14.5" x14ac:dyDescent="0.35">
      <c r="A76" s="5"/>
      <c r="C76" s="695">
        <v>45931</v>
      </c>
      <c r="D76" s="5"/>
      <c r="E76" s="701"/>
      <c r="F76" s="701"/>
      <c r="G76" s="701"/>
      <c r="H76" s="701"/>
      <c r="I76" s="701"/>
      <c r="J76" s="701"/>
      <c r="K76" s="701"/>
      <c r="M76" s="5"/>
    </row>
    <row r="77" spans="1:22" ht="14.5" x14ac:dyDescent="0.35">
      <c r="A77" s="5"/>
      <c r="C77" s="695"/>
      <c r="D77" s="5"/>
      <c r="E77" s="701"/>
      <c r="F77" s="701"/>
      <c r="G77" s="701"/>
      <c r="H77" s="701"/>
      <c r="I77" s="701"/>
      <c r="J77" s="701"/>
      <c r="K77" s="701"/>
      <c r="M77" s="5"/>
    </row>
    <row r="78" spans="1:22" ht="14.5" x14ac:dyDescent="0.35">
      <c r="A78" s="710" t="s">
        <v>721</v>
      </c>
      <c r="B78" t="s">
        <v>720</v>
      </c>
      <c r="C78" s="695">
        <v>45809</v>
      </c>
      <c r="D78" s="5">
        <v>5</v>
      </c>
      <c r="E78" s="701">
        <f>G38</f>
        <v>69250</v>
      </c>
      <c r="F78" s="701">
        <f>+J38</f>
        <v>62325</v>
      </c>
      <c r="G78" s="701"/>
      <c r="H78" s="701">
        <f>+E78/D78</f>
        <v>13850</v>
      </c>
      <c r="I78" s="701"/>
      <c r="J78" s="783">
        <f>+F78+G78-H78-I78</f>
        <v>48475</v>
      </c>
      <c r="K78" s="701"/>
      <c r="L78" s="783">
        <f>+J75+J78</f>
        <v>55325</v>
      </c>
      <c r="M78" s="5"/>
    </row>
    <row r="79" spans="1:22" ht="14.5" x14ac:dyDescent="0.35">
      <c r="A79" s="5"/>
      <c r="C79" s="695">
        <v>45931</v>
      </c>
      <c r="D79" s="5"/>
      <c r="E79" s="701"/>
      <c r="F79" s="701"/>
      <c r="G79" s="701"/>
      <c r="H79" s="701"/>
      <c r="I79" s="701"/>
      <c r="J79" s="701"/>
      <c r="K79" s="701"/>
      <c r="M79" s="5"/>
    </row>
    <row r="80" spans="1:22" ht="14.5" x14ac:dyDescent="0.35">
      <c r="A80" s="5"/>
      <c r="C80" s="695"/>
      <c r="D80" s="5"/>
      <c r="E80" s="701"/>
      <c r="F80" s="701"/>
      <c r="G80" s="701"/>
      <c r="H80" s="701"/>
      <c r="I80" s="701"/>
      <c r="J80" s="701"/>
      <c r="K80" s="701"/>
      <c r="M80" s="5"/>
    </row>
    <row r="81" spans="1:22" ht="14.5" x14ac:dyDescent="0.35">
      <c r="A81" s="5">
        <v>2</v>
      </c>
      <c r="B81" t="s">
        <v>716</v>
      </c>
      <c r="C81" s="695">
        <v>45597</v>
      </c>
      <c r="D81" s="5">
        <f>+D$12</f>
        <v>15</v>
      </c>
      <c r="E81" s="701">
        <f>+E41</f>
        <v>35664.71</v>
      </c>
      <c r="F81" s="701">
        <f>+J41</f>
        <v>34475.886333333336</v>
      </c>
      <c r="G81" s="701"/>
      <c r="H81" s="701">
        <f>+E81/D81</f>
        <v>2377.6473333333333</v>
      </c>
      <c r="I81" s="701"/>
      <c r="J81" s="711">
        <f>+F81+G81-H81-I81</f>
        <v>32098.239000000001</v>
      </c>
      <c r="K81" s="701"/>
      <c r="M81" s="5"/>
    </row>
    <row r="82" spans="1:22" ht="14.5" x14ac:dyDescent="0.35">
      <c r="A82" s="5"/>
      <c r="C82" s="695">
        <v>45931</v>
      </c>
      <c r="D82" s="5"/>
      <c r="E82" s="701"/>
      <c r="F82" s="701"/>
      <c r="G82" s="701"/>
      <c r="H82" s="701"/>
      <c r="I82" s="701"/>
      <c r="J82" s="701"/>
      <c r="K82" s="701"/>
      <c r="M82" s="5"/>
    </row>
    <row r="83" spans="1:22" ht="14.5" x14ac:dyDescent="0.35">
      <c r="A83" s="5"/>
      <c r="C83" s="695"/>
      <c r="D83" s="5"/>
      <c r="E83" s="701"/>
      <c r="F83" s="701"/>
      <c r="G83" s="701"/>
      <c r="H83" s="701"/>
      <c r="I83" s="701"/>
      <c r="J83" s="701"/>
      <c r="K83" s="701"/>
      <c r="M83" s="5"/>
    </row>
    <row r="84" spans="1:22" ht="14.5" x14ac:dyDescent="0.35">
      <c r="A84" s="710" t="s">
        <v>722</v>
      </c>
      <c r="B84" t="s">
        <v>716</v>
      </c>
      <c r="C84" s="695">
        <v>45717</v>
      </c>
      <c r="D84" s="5">
        <f>+D44</f>
        <v>15</v>
      </c>
      <c r="E84" s="701">
        <f>+G44</f>
        <v>938574.01</v>
      </c>
      <c r="F84" s="701">
        <f>+J44</f>
        <v>907288.20966666669</v>
      </c>
      <c r="G84" s="701">
        <f>+Investitionen!AK63</f>
        <v>0</v>
      </c>
      <c r="H84" s="701">
        <f>+(E84+G84)/D84</f>
        <v>62571.600666666665</v>
      </c>
      <c r="I84" s="701"/>
      <c r="J84" s="711">
        <f>+F84+G84-H84-I84</f>
        <v>844716.60900000005</v>
      </c>
      <c r="K84" s="701"/>
      <c r="L84" s="711">
        <f>+J81+J84</f>
        <v>876814.848</v>
      </c>
      <c r="M84" s="5"/>
    </row>
    <row r="85" spans="1:22" ht="14.5" x14ac:dyDescent="0.35">
      <c r="A85" s="5"/>
      <c r="C85" s="695">
        <v>45931</v>
      </c>
      <c r="D85" s="5"/>
      <c r="E85" s="701"/>
      <c r="F85" s="701"/>
      <c r="G85" s="701"/>
      <c r="H85" s="701"/>
      <c r="I85" s="701"/>
      <c r="J85" s="701"/>
      <c r="K85" s="701"/>
      <c r="M85" s="5"/>
    </row>
    <row r="86" spans="1:22" ht="14.5" x14ac:dyDescent="0.35">
      <c r="A86" s="5"/>
      <c r="C86" s="695"/>
      <c r="D86" s="5"/>
      <c r="E86" s="701"/>
      <c r="F86" s="701"/>
      <c r="G86" s="701"/>
      <c r="H86" s="701"/>
      <c r="I86" s="701"/>
      <c r="J86" s="701"/>
      <c r="K86" s="701"/>
      <c r="M86" s="5"/>
    </row>
    <row r="87" spans="1:22" ht="14.5" x14ac:dyDescent="0.35">
      <c r="A87" s="5">
        <v>3</v>
      </c>
      <c r="B87" t="s">
        <v>723</v>
      </c>
      <c r="C87" s="695">
        <v>45597</v>
      </c>
      <c r="D87" s="5">
        <f>+D$15</f>
        <v>10</v>
      </c>
      <c r="E87" s="701">
        <f>+E47</f>
        <v>1810</v>
      </c>
      <c r="F87" s="701">
        <f>+J47</f>
        <v>1547.55</v>
      </c>
      <c r="G87" s="701"/>
      <c r="H87" s="701">
        <f>+E87/D87</f>
        <v>181</v>
      </c>
      <c r="I87" s="701"/>
      <c r="J87" s="785">
        <f>+F87+G87-H87-I87</f>
        <v>1366.55</v>
      </c>
      <c r="K87" s="701"/>
      <c r="M87" s="5"/>
    </row>
    <row r="88" spans="1:22" ht="14.5" x14ac:dyDescent="0.35">
      <c r="A88" s="5"/>
      <c r="C88" s="695">
        <v>45931</v>
      </c>
      <c r="D88" s="5"/>
      <c r="E88" s="701"/>
      <c r="F88" s="701"/>
      <c r="G88" s="701"/>
      <c r="H88" s="701"/>
      <c r="I88" s="701"/>
      <c r="J88" s="701"/>
      <c r="K88" s="701"/>
      <c r="M88" s="5"/>
    </row>
    <row r="89" spans="1:22" ht="14.5" x14ac:dyDescent="0.35">
      <c r="A89" s="5"/>
      <c r="C89" s="695"/>
      <c r="D89" s="5"/>
      <c r="E89" s="701"/>
      <c r="F89" s="701"/>
      <c r="G89" s="701"/>
      <c r="H89" s="701"/>
      <c r="I89" s="701"/>
      <c r="J89" s="701"/>
      <c r="K89" s="701"/>
      <c r="M89" s="5"/>
    </row>
    <row r="90" spans="1:22" ht="14.5" x14ac:dyDescent="0.35">
      <c r="A90" s="710" t="s">
        <v>724</v>
      </c>
      <c r="B90" t="s">
        <v>723</v>
      </c>
      <c r="C90" s="695">
        <v>45717</v>
      </c>
      <c r="D90" s="5">
        <v>10</v>
      </c>
      <c r="E90" s="701">
        <f>+G50</f>
        <v>35750</v>
      </c>
      <c r="F90" s="701">
        <f>+J50</f>
        <v>33962.5</v>
      </c>
      <c r="G90" s="701"/>
      <c r="H90" s="701">
        <f>+E90/D90</f>
        <v>3575</v>
      </c>
      <c r="I90" s="701"/>
      <c r="J90" s="785">
        <f>+F90+G90-H90-I90</f>
        <v>30387.5</v>
      </c>
      <c r="K90" s="701"/>
      <c r="M90" s="5"/>
    </row>
    <row r="91" spans="1:22" ht="14.5" x14ac:dyDescent="0.35">
      <c r="A91" s="5"/>
      <c r="C91" s="695">
        <v>45931</v>
      </c>
      <c r="D91" s="5"/>
      <c r="E91" s="701"/>
      <c r="F91" s="701"/>
      <c r="G91" s="701"/>
      <c r="H91" s="701"/>
      <c r="I91" s="701"/>
      <c r="J91" s="701"/>
      <c r="K91" s="701"/>
      <c r="M91" s="5"/>
    </row>
    <row r="92" spans="1:22" ht="14.5" x14ac:dyDescent="0.35">
      <c r="A92" s="5"/>
      <c r="C92" s="695"/>
      <c r="D92" s="5"/>
      <c r="E92" s="701"/>
      <c r="F92" s="701"/>
      <c r="G92" s="701"/>
      <c r="H92" s="701"/>
      <c r="I92" s="701"/>
      <c r="J92" s="701"/>
      <c r="K92" s="701"/>
      <c r="M92" s="5"/>
    </row>
    <row r="93" spans="1:22" ht="14.5" x14ac:dyDescent="0.35">
      <c r="A93" s="710" t="s">
        <v>824</v>
      </c>
      <c r="B93" t="s">
        <v>723</v>
      </c>
      <c r="C93" s="695">
        <v>46082</v>
      </c>
      <c r="D93" s="5">
        <v>10</v>
      </c>
      <c r="E93" s="701">
        <f>+Investitionen!AC63</f>
        <v>0</v>
      </c>
      <c r="F93" s="701"/>
      <c r="G93" s="705">
        <f>+Investitionen!AJ15</f>
        <v>5076.666666666667</v>
      </c>
      <c r="H93" s="701">
        <f>+G93/D93</f>
        <v>507.66666666666669</v>
      </c>
      <c r="I93" s="701"/>
      <c r="J93" s="785">
        <f>+F93+G93-H93-I93</f>
        <v>4569</v>
      </c>
      <c r="K93" s="701"/>
      <c r="L93" s="785">
        <f>+J87+J90+J93</f>
        <v>36323.050000000003</v>
      </c>
      <c r="M93" s="5"/>
    </row>
    <row r="94" spans="1:22" ht="14.5" x14ac:dyDescent="0.35">
      <c r="A94" s="5"/>
      <c r="C94" s="695">
        <v>46082</v>
      </c>
      <c r="D94" s="5"/>
      <c r="E94" s="701"/>
      <c r="F94" s="701"/>
      <c r="G94" s="705"/>
      <c r="H94" s="701"/>
      <c r="I94" s="701"/>
      <c r="J94" s="701"/>
      <c r="K94" s="701"/>
      <c r="M94" s="5"/>
    </row>
    <row r="95" spans="1:22" ht="14.5" x14ac:dyDescent="0.35">
      <c r="A95" s="5"/>
      <c r="C95" s="695"/>
      <c r="D95" s="5"/>
      <c r="E95" s="701"/>
      <c r="F95" s="701"/>
      <c r="G95" s="701"/>
      <c r="H95" s="701"/>
      <c r="I95" s="701"/>
      <c r="J95" s="701"/>
      <c r="K95" s="701"/>
      <c r="M95" s="5"/>
    </row>
    <row r="96" spans="1:22" ht="14.5" x14ac:dyDescent="0.35">
      <c r="A96" s="5"/>
      <c r="C96" s="695"/>
      <c r="D96" s="5"/>
      <c r="E96" s="701"/>
      <c r="F96" s="701"/>
      <c r="G96" s="701"/>
      <c r="H96" s="701"/>
      <c r="I96" s="701"/>
      <c r="J96" s="701"/>
      <c r="K96" s="701"/>
      <c r="M96" s="5">
        <v>4</v>
      </c>
      <c r="N96" t="s">
        <v>840</v>
      </c>
      <c r="O96" s="695">
        <v>45597</v>
      </c>
      <c r="P96" s="5">
        <f>+P$18</f>
        <v>5</v>
      </c>
      <c r="Q96" s="701">
        <f>+Q53</f>
        <v>13150</v>
      </c>
      <c r="R96" s="701">
        <f>+V53</f>
        <v>9205</v>
      </c>
      <c r="S96" s="701"/>
      <c r="T96" s="701">
        <f>+Q96/P96</f>
        <v>2630</v>
      </c>
      <c r="U96" s="701"/>
      <c r="V96" s="712">
        <f>+R96+S96-T96-U96</f>
        <v>6575</v>
      </c>
    </row>
    <row r="97" spans="1:22" ht="14.5" x14ac:dyDescent="0.35">
      <c r="A97" s="5"/>
      <c r="C97" s="695"/>
      <c r="D97" s="5"/>
      <c r="E97" s="701"/>
      <c r="F97" s="701"/>
      <c r="G97" s="701"/>
      <c r="H97" s="701"/>
      <c r="I97" s="701"/>
      <c r="J97" s="701"/>
      <c r="K97" s="701"/>
      <c r="M97" s="5"/>
      <c r="O97" s="695">
        <v>45931</v>
      </c>
      <c r="P97" s="5"/>
      <c r="Q97" s="701"/>
      <c r="R97" s="701"/>
      <c r="S97" s="701"/>
      <c r="T97" s="701"/>
      <c r="U97" s="701"/>
      <c r="V97" s="701"/>
    </row>
    <row r="98" spans="1:22" ht="14.5" x14ac:dyDescent="0.35">
      <c r="A98" s="5"/>
      <c r="C98" s="695"/>
      <c r="D98" s="5"/>
      <c r="E98" s="701"/>
      <c r="F98" s="701"/>
      <c r="G98" s="701"/>
      <c r="H98" s="701"/>
      <c r="I98" s="701"/>
      <c r="J98" s="701"/>
      <c r="K98" s="701"/>
      <c r="M98" s="5"/>
      <c r="O98" s="695"/>
      <c r="P98" s="5"/>
      <c r="Q98" s="701"/>
      <c r="R98" s="701"/>
      <c r="S98" s="701"/>
      <c r="T98" s="701"/>
      <c r="U98" s="701"/>
      <c r="V98" s="701"/>
    </row>
    <row r="99" spans="1:22" ht="14.5" x14ac:dyDescent="0.35">
      <c r="A99" s="5"/>
      <c r="C99" s="695"/>
      <c r="D99" s="5"/>
      <c r="E99" s="701"/>
      <c r="F99" s="701"/>
      <c r="G99" s="701"/>
      <c r="H99" s="701"/>
      <c r="I99" s="701"/>
      <c r="J99" s="701"/>
      <c r="K99" s="701"/>
      <c r="M99" s="710" t="s">
        <v>725</v>
      </c>
      <c r="N99" t="s">
        <v>718</v>
      </c>
      <c r="O99" s="695">
        <v>45778</v>
      </c>
      <c r="P99" s="5">
        <v>15</v>
      </c>
      <c r="Q99" s="701">
        <f>+S56</f>
        <v>133275</v>
      </c>
      <c r="R99" s="701">
        <f>+V56</f>
        <v>124390</v>
      </c>
      <c r="S99" s="705">
        <f>-Foerdergn!AT63</f>
        <v>0</v>
      </c>
      <c r="T99" s="701">
        <f>+Q99/P99</f>
        <v>8885</v>
      </c>
      <c r="U99" s="701"/>
      <c r="V99" s="712">
        <f>+R99+S99-T99-U99</f>
        <v>115505</v>
      </c>
    </row>
    <row r="100" spans="1:22" ht="14.5" x14ac:dyDescent="0.35">
      <c r="A100" s="5"/>
      <c r="C100" s="695"/>
      <c r="D100" s="5"/>
      <c r="E100" s="701"/>
      <c r="F100" s="701"/>
      <c r="G100" s="701"/>
      <c r="H100" s="701"/>
      <c r="I100" s="701"/>
      <c r="J100" s="701"/>
      <c r="K100" s="701"/>
      <c r="M100" s="5"/>
      <c r="O100" s="695">
        <v>45931</v>
      </c>
      <c r="P100" s="5"/>
      <c r="Q100" s="701"/>
      <c r="R100" s="701"/>
      <c r="S100" s="705"/>
      <c r="T100" s="701"/>
      <c r="U100" s="701"/>
      <c r="V100" s="701"/>
    </row>
    <row r="101" spans="1:22" ht="14.5" x14ac:dyDescent="0.35">
      <c r="A101" s="5"/>
      <c r="C101" s="695"/>
      <c r="D101" s="5"/>
      <c r="E101" s="701"/>
      <c r="F101" s="701"/>
      <c r="G101" s="701"/>
      <c r="H101" s="701"/>
      <c r="I101" s="701"/>
      <c r="J101" s="701"/>
      <c r="K101" s="701"/>
      <c r="M101" s="5"/>
      <c r="O101" s="696"/>
      <c r="P101" s="5"/>
      <c r="Q101" s="701"/>
      <c r="R101" s="701"/>
      <c r="S101" s="701"/>
      <c r="T101" s="701"/>
      <c r="U101" s="701"/>
      <c r="V101" s="701"/>
    </row>
    <row r="102" spans="1:22" ht="14.5" x14ac:dyDescent="0.35">
      <c r="A102" s="5"/>
      <c r="C102" s="695"/>
      <c r="D102" s="5"/>
      <c r="E102" s="701"/>
      <c r="F102" s="701"/>
      <c r="G102" s="701"/>
      <c r="H102" s="701"/>
      <c r="I102" s="701"/>
      <c r="J102" s="701"/>
      <c r="K102" s="701"/>
      <c r="M102" s="710" t="s">
        <v>727</v>
      </c>
      <c r="N102" t="s">
        <v>841</v>
      </c>
      <c r="O102" s="695">
        <v>45778</v>
      </c>
      <c r="P102" s="5">
        <v>5</v>
      </c>
      <c r="Q102" s="701">
        <f>S59</f>
        <v>20500</v>
      </c>
      <c r="R102" s="701">
        <f>V59</f>
        <v>16400</v>
      </c>
      <c r="S102" s="705">
        <f>+Foerdergn!AM12</f>
        <v>0</v>
      </c>
      <c r="T102" s="701">
        <v>4100</v>
      </c>
      <c r="U102" s="701"/>
      <c r="V102" s="712">
        <f>+R102+S102-T102-U102</f>
        <v>12300</v>
      </c>
    </row>
    <row r="103" spans="1:22" ht="14.5" x14ac:dyDescent="0.35">
      <c r="A103" s="5"/>
      <c r="C103" s="695"/>
      <c r="D103" s="5"/>
      <c r="E103" s="701"/>
      <c r="F103" s="701"/>
      <c r="G103" s="701"/>
      <c r="H103" s="701"/>
      <c r="I103" s="701"/>
      <c r="J103" s="701"/>
      <c r="K103" s="701"/>
      <c r="M103" s="5"/>
      <c r="O103" s="695">
        <v>45931</v>
      </c>
      <c r="P103" s="5"/>
      <c r="Q103" s="701"/>
      <c r="R103" s="701"/>
      <c r="S103" s="705"/>
      <c r="T103" s="701"/>
      <c r="U103" s="701"/>
    </row>
    <row r="104" spans="1:22" ht="14.5" x14ac:dyDescent="0.35">
      <c r="A104" s="5"/>
      <c r="C104" s="695"/>
      <c r="D104" s="5"/>
      <c r="E104" s="701"/>
      <c r="F104" s="701"/>
      <c r="G104" s="701"/>
      <c r="H104" s="701"/>
      <c r="I104" s="701"/>
      <c r="J104" s="701"/>
      <c r="K104" s="701"/>
      <c r="M104" s="5"/>
      <c r="O104" s="695"/>
      <c r="P104" s="5"/>
      <c r="Q104" s="701"/>
      <c r="R104" s="701"/>
      <c r="S104" s="705"/>
      <c r="T104" s="701"/>
      <c r="U104" s="701"/>
    </row>
    <row r="105" spans="1:22" ht="14.5" x14ac:dyDescent="0.35">
      <c r="A105" s="5"/>
      <c r="C105" s="695"/>
      <c r="D105" s="5"/>
      <c r="E105" s="701"/>
      <c r="F105" s="701"/>
      <c r="G105" s="701"/>
      <c r="H105" s="701"/>
      <c r="I105" s="701"/>
      <c r="J105" s="701"/>
      <c r="K105" s="701"/>
      <c r="M105" s="710" t="s">
        <v>727</v>
      </c>
      <c r="N105" t="s">
        <v>851</v>
      </c>
      <c r="O105" s="695">
        <v>46143</v>
      </c>
      <c r="P105" s="5">
        <v>15</v>
      </c>
      <c r="Q105" s="701"/>
      <c r="R105" s="701"/>
      <c r="S105" s="705">
        <f>Foerdergn!E11</f>
        <v>15000</v>
      </c>
      <c r="T105" s="701">
        <f>S105/P105</f>
        <v>1000</v>
      </c>
      <c r="U105" s="701"/>
      <c r="V105" s="712">
        <f t="shared" ref="V105" si="1">+R105+S105-T105-U105</f>
        <v>14000</v>
      </c>
    </row>
    <row r="106" spans="1:22" ht="14.5" x14ac:dyDescent="0.35">
      <c r="A106" s="5"/>
      <c r="C106" s="695"/>
      <c r="D106" s="5"/>
      <c r="E106" s="701"/>
      <c r="F106" s="701"/>
      <c r="G106" s="701"/>
      <c r="H106" s="701"/>
      <c r="I106" s="701"/>
      <c r="J106" s="701"/>
      <c r="K106" s="701"/>
      <c r="M106" s="5"/>
      <c r="O106" s="695">
        <v>46143</v>
      </c>
      <c r="P106" s="5"/>
      <c r="Q106" s="701"/>
      <c r="R106" s="701"/>
      <c r="S106" s="705"/>
      <c r="T106" s="701"/>
      <c r="U106" s="701"/>
      <c r="V106" s="701"/>
    </row>
    <row r="107" spans="1:22" ht="14.5" x14ac:dyDescent="0.35">
      <c r="A107" s="5"/>
      <c r="C107" s="695"/>
      <c r="D107" s="5"/>
      <c r="E107" s="701"/>
      <c r="F107" s="701"/>
      <c r="G107" s="701"/>
      <c r="H107" s="701"/>
      <c r="I107" s="701"/>
      <c r="J107" s="701"/>
      <c r="K107" s="701"/>
      <c r="M107" s="5"/>
      <c r="O107" s="696"/>
      <c r="P107" s="5"/>
      <c r="Q107" s="701"/>
      <c r="R107" s="701"/>
      <c r="S107" s="701"/>
      <c r="T107" s="701"/>
      <c r="U107" s="701"/>
      <c r="V107" s="701"/>
    </row>
    <row r="108" spans="1:22" ht="14.5" x14ac:dyDescent="0.35">
      <c r="A108" s="697"/>
      <c r="B108" s="698"/>
      <c r="C108" s="698"/>
      <c r="D108" s="698"/>
      <c r="E108" s="704"/>
      <c r="F108" s="704"/>
      <c r="G108" s="704"/>
      <c r="H108" s="704"/>
      <c r="I108" s="704"/>
      <c r="J108" s="704"/>
      <c r="K108" s="701"/>
      <c r="M108" s="697"/>
      <c r="N108" s="698"/>
      <c r="O108" s="698"/>
      <c r="P108" s="698"/>
      <c r="Q108" s="704"/>
      <c r="R108" s="704"/>
      <c r="S108" s="704"/>
      <c r="T108" s="704"/>
      <c r="U108" s="704"/>
      <c r="V108" s="704"/>
    </row>
    <row r="109" spans="1:22" ht="14.5" x14ac:dyDescent="0.35">
      <c r="A109" s="5"/>
      <c r="E109" s="701"/>
      <c r="F109" s="701"/>
      <c r="G109" s="701"/>
      <c r="H109" s="701"/>
      <c r="I109" s="701"/>
      <c r="J109" s="701"/>
      <c r="K109" s="701"/>
      <c r="M109" s="5"/>
      <c r="Q109" s="701"/>
      <c r="R109" s="701"/>
      <c r="S109" s="701"/>
      <c r="T109" s="701"/>
      <c r="U109" s="701"/>
      <c r="V109" s="701"/>
    </row>
    <row r="110" spans="1:22" ht="14.5" x14ac:dyDescent="0.35">
      <c r="A110" s="5"/>
      <c r="E110" s="701">
        <f t="shared" ref="E110:J110" si="2">SUM(E75:E107)</f>
        <v>1094748.72</v>
      </c>
      <c r="F110" s="701">
        <f t="shared" si="2"/>
        <v>1049189.1460000002</v>
      </c>
      <c r="G110" s="701">
        <f t="shared" si="2"/>
        <v>5076.666666666667</v>
      </c>
      <c r="H110" s="713">
        <f t="shared" si="2"/>
        <v>85802.914666666664</v>
      </c>
      <c r="I110" s="701">
        <f t="shared" si="2"/>
        <v>0</v>
      </c>
      <c r="J110" s="713">
        <f t="shared" si="2"/>
        <v>968462.89800000004</v>
      </c>
      <c r="K110" s="713"/>
      <c r="M110" s="5"/>
      <c r="Q110" s="701">
        <f t="shared" ref="Q110:V110" si="3">SUM(Q75:Q107)</f>
        <v>166925</v>
      </c>
      <c r="R110" s="701">
        <f t="shared" si="3"/>
        <v>149995</v>
      </c>
      <c r="S110" s="701">
        <f t="shared" si="3"/>
        <v>15000</v>
      </c>
      <c r="T110" s="713">
        <f t="shared" si="3"/>
        <v>16615</v>
      </c>
      <c r="U110" s="701">
        <f t="shared" si="3"/>
        <v>0</v>
      </c>
      <c r="V110" s="713">
        <f t="shared" si="3"/>
        <v>148380</v>
      </c>
    </row>
    <row r="111" spans="1:22" ht="15" thickBot="1" x14ac:dyDescent="0.4">
      <c r="A111" s="706"/>
      <c r="B111" s="707"/>
      <c r="C111" s="707"/>
      <c r="D111" s="707"/>
      <c r="E111" s="707"/>
      <c r="F111" s="707"/>
      <c r="G111" s="707"/>
      <c r="H111" s="707"/>
      <c r="I111" s="707"/>
      <c r="J111" s="707"/>
      <c r="M111" s="706"/>
      <c r="N111" s="707"/>
      <c r="O111" s="707"/>
      <c r="P111" s="707"/>
      <c r="Q111" s="707"/>
      <c r="R111" s="707"/>
      <c r="S111" s="707"/>
      <c r="T111" s="707"/>
      <c r="U111" s="707"/>
      <c r="V111" s="707"/>
    </row>
    <row r="112" spans="1:22" ht="14.25" customHeight="1" thickTop="1" x14ac:dyDescent="0.35"/>
    <row r="115" spans="1:22" ht="21" x14ac:dyDescent="0.5">
      <c r="A115" s="694" t="s">
        <v>728</v>
      </c>
      <c r="D115" s="4">
        <f>+J119</f>
        <v>46783</v>
      </c>
      <c r="M115" s="694" t="s">
        <v>828</v>
      </c>
      <c r="P115" s="4">
        <f>+V119</f>
        <v>46783</v>
      </c>
    </row>
    <row r="118" spans="1:22" ht="14.5" x14ac:dyDescent="0.35">
      <c r="A118" s="5" t="s">
        <v>702</v>
      </c>
      <c r="B118" t="s">
        <v>703</v>
      </c>
      <c r="C118" s="5" t="s">
        <v>704</v>
      </c>
      <c r="D118" s="5" t="s">
        <v>705</v>
      </c>
      <c r="E118" s="5" t="s">
        <v>706</v>
      </c>
      <c r="F118" s="5" t="s">
        <v>707</v>
      </c>
      <c r="G118" s="5" t="s">
        <v>708</v>
      </c>
      <c r="H118" s="5" t="s">
        <v>303</v>
      </c>
      <c r="I118" s="5" t="s">
        <v>709</v>
      </c>
      <c r="J118" s="5" t="s">
        <v>710</v>
      </c>
      <c r="K118" s="5"/>
      <c r="M118" s="5" t="s">
        <v>702</v>
      </c>
      <c r="N118" t="s">
        <v>703</v>
      </c>
      <c r="O118" s="5" t="s">
        <v>704</v>
      </c>
      <c r="P118" s="5" t="s">
        <v>705</v>
      </c>
      <c r="Q118" s="5" t="s">
        <v>706</v>
      </c>
      <c r="R118" s="5" t="s">
        <v>707</v>
      </c>
      <c r="S118" s="5" t="s">
        <v>708</v>
      </c>
      <c r="T118" s="5" t="s">
        <v>830</v>
      </c>
      <c r="U118" s="5" t="s">
        <v>709</v>
      </c>
      <c r="V118" s="5" t="s">
        <v>710</v>
      </c>
    </row>
    <row r="119" spans="1:22" ht="14.5" x14ac:dyDescent="0.35">
      <c r="A119" s="5"/>
      <c r="C119" s="5" t="s">
        <v>711</v>
      </c>
      <c r="D119" s="5" t="s">
        <v>712</v>
      </c>
      <c r="E119" s="5" t="s">
        <v>713</v>
      </c>
      <c r="F119" s="695">
        <v>46419</v>
      </c>
      <c r="G119" s="696"/>
      <c r="H119" s="5"/>
      <c r="I119" s="5"/>
      <c r="J119" s="695">
        <v>46783</v>
      </c>
      <c r="K119" s="695"/>
      <c r="M119" s="5"/>
      <c r="O119" s="5" t="s">
        <v>711</v>
      </c>
      <c r="P119" s="5" t="s">
        <v>712</v>
      </c>
      <c r="Q119" s="5" t="s">
        <v>713</v>
      </c>
      <c r="R119" s="695">
        <v>46419</v>
      </c>
      <c r="S119" s="696"/>
      <c r="T119" s="5"/>
      <c r="U119" s="5"/>
      <c r="V119" s="695">
        <v>46783</v>
      </c>
    </row>
    <row r="120" spans="1:22" ht="14.5" x14ac:dyDescent="0.35">
      <c r="A120" s="697"/>
      <c r="B120" s="698"/>
      <c r="C120" s="697" t="s">
        <v>714</v>
      </c>
      <c r="D120" s="697"/>
      <c r="E120" s="697"/>
      <c r="F120" s="697"/>
      <c r="G120" s="697"/>
      <c r="H120" s="697"/>
      <c r="I120" s="697"/>
      <c r="J120" s="697"/>
      <c r="K120" s="5"/>
      <c r="M120" s="697"/>
      <c r="N120" s="698"/>
      <c r="O120" s="697" t="s">
        <v>714</v>
      </c>
      <c r="P120" s="697"/>
      <c r="Q120" s="697"/>
      <c r="R120" s="697"/>
      <c r="S120" s="697"/>
      <c r="T120" s="697"/>
      <c r="U120" s="697"/>
      <c r="V120" s="697"/>
    </row>
    <row r="121" spans="1:22" ht="14.5" x14ac:dyDescent="0.35">
      <c r="A121" s="5"/>
      <c r="M121" s="5"/>
    </row>
    <row r="122" spans="1:22" ht="14.5" x14ac:dyDescent="0.35">
      <c r="A122" s="5">
        <v>1</v>
      </c>
      <c r="B122" t="s">
        <v>720</v>
      </c>
      <c r="C122" s="695">
        <v>45689</v>
      </c>
      <c r="D122" s="5">
        <f>+D$9</f>
        <v>5</v>
      </c>
      <c r="E122" s="701">
        <f>+E75</f>
        <v>13700</v>
      </c>
      <c r="F122" s="701">
        <f>+J75</f>
        <v>6850</v>
      </c>
      <c r="G122" s="701"/>
      <c r="H122" s="701">
        <f>+E122/D122</f>
        <v>2740</v>
      </c>
      <c r="I122" s="701"/>
      <c r="J122" s="783">
        <f>+F122+G122-H122-I122</f>
        <v>4110</v>
      </c>
      <c r="K122" s="701"/>
      <c r="M122" s="5"/>
    </row>
    <row r="123" spans="1:22" ht="14.5" x14ac:dyDescent="0.35">
      <c r="A123" s="5"/>
      <c r="C123" s="695">
        <v>45931</v>
      </c>
      <c r="D123" s="5"/>
      <c r="E123" s="701"/>
      <c r="F123" s="701"/>
      <c r="G123" s="701"/>
      <c r="H123" s="701"/>
      <c r="I123" s="701"/>
      <c r="J123" s="701"/>
      <c r="K123" s="701"/>
      <c r="M123" s="5"/>
    </row>
    <row r="124" spans="1:22" ht="14.5" x14ac:dyDescent="0.35">
      <c r="A124" s="5"/>
      <c r="C124" s="695"/>
      <c r="D124" s="5"/>
      <c r="E124" s="701"/>
      <c r="F124" s="701"/>
      <c r="G124" s="701"/>
      <c r="H124" s="701"/>
      <c r="I124" s="701"/>
      <c r="J124" s="701"/>
      <c r="K124" s="701"/>
      <c r="M124" s="5"/>
    </row>
    <row r="125" spans="1:22" ht="14.5" x14ac:dyDescent="0.35">
      <c r="A125" s="710" t="s">
        <v>721</v>
      </c>
      <c r="B125" t="s">
        <v>720</v>
      </c>
      <c r="C125" s="695">
        <v>45809</v>
      </c>
      <c r="D125" s="5">
        <v>5</v>
      </c>
      <c r="E125" s="701">
        <f>G38</f>
        <v>69250</v>
      </c>
      <c r="F125" s="701">
        <f>+J78</f>
        <v>48475</v>
      </c>
      <c r="G125" s="701"/>
      <c r="H125" s="701">
        <f>+E125/D125</f>
        <v>13850</v>
      </c>
      <c r="I125" s="701"/>
      <c r="J125" s="783">
        <f>+F125+G125-H125-I125</f>
        <v>34625</v>
      </c>
      <c r="K125" s="701"/>
      <c r="L125" s="783">
        <f>+J122+J125</f>
        <v>38735</v>
      </c>
      <c r="M125" s="5"/>
    </row>
    <row r="126" spans="1:22" ht="14.5" x14ac:dyDescent="0.35">
      <c r="A126" s="5"/>
      <c r="C126" s="695">
        <v>45931</v>
      </c>
      <c r="D126" s="5"/>
      <c r="E126" s="701"/>
      <c r="F126" s="701"/>
      <c r="G126" s="701"/>
      <c r="H126" s="701"/>
      <c r="I126" s="701"/>
      <c r="J126" s="701"/>
      <c r="K126" s="701"/>
      <c r="M126" s="5"/>
    </row>
    <row r="127" spans="1:22" ht="14.5" x14ac:dyDescent="0.35">
      <c r="A127" s="5"/>
      <c r="C127" s="695"/>
      <c r="D127" s="5"/>
      <c r="E127" s="701"/>
      <c r="F127" s="701"/>
      <c r="G127" s="701"/>
      <c r="H127" s="701"/>
      <c r="I127" s="701"/>
      <c r="J127" s="701"/>
      <c r="K127" s="701"/>
      <c r="M127" s="5"/>
    </row>
    <row r="128" spans="1:22" ht="14.5" x14ac:dyDescent="0.35">
      <c r="A128" s="5">
        <v>2</v>
      </c>
      <c r="B128" t="s">
        <v>716</v>
      </c>
      <c r="C128" s="695">
        <v>45597</v>
      </c>
      <c r="D128" s="5">
        <f>+D$12</f>
        <v>15</v>
      </c>
      <c r="E128" s="701">
        <f>+E81</f>
        <v>35664.71</v>
      </c>
      <c r="F128" s="701">
        <f>+J81</f>
        <v>32098.239000000001</v>
      </c>
      <c r="G128" s="701"/>
      <c r="H128" s="701">
        <f>+E128/D128</f>
        <v>2377.6473333333333</v>
      </c>
      <c r="I128" s="701"/>
      <c r="J128" s="711">
        <f>+F128+G128-H128-I128</f>
        <v>29720.591666666667</v>
      </c>
      <c r="K128" s="701"/>
      <c r="M128" s="5"/>
    </row>
    <row r="129" spans="1:22" ht="14.5" x14ac:dyDescent="0.35">
      <c r="A129" s="5"/>
      <c r="C129" s="695">
        <v>45931</v>
      </c>
      <c r="D129" s="5"/>
      <c r="E129" s="701"/>
      <c r="F129" s="701"/>
      <c r="G129" s="701"/>
      <c r="H129" s="701"/>
      <c r="I129" s="701"/>
      <c r="J129" s="701"/>
      <c r="K129" s="701"/>
      <c r="M129" s="5"/>
    </row>
    <row r="130" spans="1:22" ht="14.5" x14ac:dyDescent="0.35">
      <c r="A130" s="5"/>
      <c r="C130" s="695"/>
      <c r="D130" s="5"/>
      <c r="E130" s="701"/>
      <c r="F130" s="701"/>
      <c r="G130" s="701"/>
      <c r="H130" s="701"/>
      <c r="I130" s="701"/>
      <c r="J130" s="701"/>
      <c r="K130" s="701"/>
      <c r="M130" s="5"/>
    </row>
    <row r="131" spans="1:22" ht="14.5" x14ac:dyDescent="0.35">
      <c r="A131" s="710" t="s">
        <v>722</v>
      </c>
      <c r="B131" t="s">
        <v>716</v>
      </c>
      <c r="C131" s="695">
        <v>45717</v>
      </c>
      <c r="D131" s="5">
        <f>+D84</f>
        <v>15</v>
      </c>
      <c r="E131" s="701">
        <f>+E84+G84</f>
        <v>938574.01</v>
      </c>
      <c r="F131" s="701">
        <f>+J84</f>
        <v>844716.60900000005</v>
      </c>
      <c r="G131" s="701"/>
      <c r="H131" s="701">
        <f>+E131/D131</f>
        <v>62571.600666666665</v>
      </c>
      <c r="I131" s="701"/>
      <c r="J131" s="711">
        <f>+F131+G131-H131-I131</f>
        <v>782145.00833333342</v>
      </c>
      <c r="K131" s="701"/>
      <c r="L131" s="711">
        <f>+J128+J131</f>
        <v>811865.60000000009</v>
      </c>
      <c r="M131" s="5"/>
    </row>
    <row r="132" spans="1:22" ht="14.5" x14ac:dyDescent="0.35">
      <c r="A132" s="5"/>
      <c r="C132" s="695">
        <v>45931</v>
      </c>
      <c r="D132" s="5"/>
      <c r="E132" s="701"/>
      <c r="F132" s="701"/>
      <c r="G132" s="701"/>
      <c r="H132" s="701"/>
      <c r="I132" s="701"/>
      <c r="J132" s="701"/>
      <c r="K132" s="701"/>
      <c r="M132" s="5"/>
    </row>
    <row r="133" spans="1:22" ht="14.5" x14ac:dyDescent="0.35">
      <c r="A133" s="5"/>
      <c r="C133" s="695"/>
      <c r="D133" s="5"/>
      <c r="E133" s="701"/>
      <c r="F133" s="701"/>
      <c r="G133" s="701"/>
      <c r="H133" s="701"/>
      <c r="I133" s="701"/>
      <c r="J133" s="701"/>
      <c r="K133" s="701"/>
      <c r="M133" s="5"/>
    </row>
    <row r="134" spans="1:22" ht="14.5" x14ac:dyDescent="0.35">
      <c r="A134" s="5">
        <v>3</v>
      </c>
      <c r="B134" t="s">
        <v>723</v>
      </c>
      <c r="C134" s="695">
        <v>45597</v>
      </c>
      <c r="D134" s="5">
        <f>+D$15</f>
        <v>10</v>
      </c>
      <c r="E134" s="701">
        <f>+E87</f>
        <v>1810</v>
      </c>
      <c r="F134" s="701">
        <f>+J87</f>
        <v>1366.55</v>
      </c>
      <c r="G134" s="701"/>
      <c r="H134" s="701">
        <f>+E134/D134</f>
        <v>181</v>
      </c>
      <c r="I134" s="701"/>
      <c r="J134" s="785">
        <f>+F134+G134-H134-I134</f>
        <v>1185.55</v>
      </c>
      <c r="K134" s="701"/>
      <c r="M134" s="5"/>
    </row>
    <row r="135" spans="1:22" ht="14.5" x14ac:dyDescent="0.35">
      <c r="A135" s="5"/>
      <c r="C135" s="695">
        <v>45931</v>
      </c>
      <c r="D135" s="5"/>
      <c r="E135" s="701"/>
      <c r="F135" s="701"/>
      <c r="G135" s="701"/>
      <c r="H135" s="701"/>
      <c r="I135" s="701"/>
      <c r="J135" s="701"/>
      <c r="K135" s="701"/>
      <c r="M135" s="5"/>
    </row>
    <row r="136" spans="1:22" ht="14.5" x14ac:dyDescent="0.35">
      <c r="A136" s="5"/>
      <c r="C136" s="695"/>
      <c r="D136" s="5"/>
      <c r="E136" s="701"/>
      <c r="F136" s="701"/>
      <c r="G136" s="701"/>
      <c r="H136" s="701"/>
      <c r="I136" s="701"/>
      <c r="J136" s="701"/>
      <c r="K136" s="701"/>
      <c r="M136" s="5"/>
    </row>
    <row r="137" spans="1:22" ht="14.5" x14ac:dyDescent="0.35">
      <c r="A137" s="710" t="s">
        <v>724</v>
      </c>
      <c r="B137" t="s">
        <v>723</v>
      </c>
      <c r="C137" s="695">
        <v>45717</v>
      </c>
      <c r="D137" s="5">
        <v>10</v>
      </c>
      <c r="E137" s="701">
        <f>+E90</f>
        <v>35750</v>
      </c>
      <c r="F137" s="701">
        <f>+J90</f>
        <v>30387.5</v>
      </c>
      <c r="G137" s="701"/>
      <c r="H137" s="701">
        <f>+E137/D137</f>
        <v>3575</v>
      </c>
      <c r="I137" s="701"/>
      <c r="J137" s="785">
        <f>+F137+G137-H137-I137</f>
        <v>26812.5</v>
      </c>
      <c r="K137" s="701"/>
      <c r="M137" s="5"/>
    </row>
    <row r="138" spans="1:22" ht="14.5" x14ac:dyDescent="0.35">
      <c r="A138" s="5"/>
      <c r="C138" s="695">
        <v>45931</v>
      </c>
      <c r="D138" s="5"/>
      <c r="E138" s="701"/>
      <c r="F138" s="701"/>
      <c r="G138" s="701"/>
      <c r="H138" s="701"/>
      <c r="I138" s="701"/>
      <c r="J138" s="701"/>
      <c r="K138" s="701"/>
      <c r="M138" s="5"/>
    </row>
    <row r="139" spans="1:22" ht="14.5" x14ac:dyDescent="0.35">
      <c r="A139" s="5"/>
      <c r="C139" s="695"/>
      <c r="D139" s="5"/>
      <c r="E139" s="701"/>
      <c r="F139" s="701"/>
      <c r="G139" s="701"/>
      <c r="H139" s="701"/>
      <c r="I139" s="701"/>
      <c r="J139" s="701"/>
      <c r="K139" s="701"/>
      <c r="M139" s="5"/>
    </row>
    <row r="140" spans="1:22" ht="14.5" x14ac:dyDescent="0.35">
      <c r="A140" s="779" t="s">
        <v>824</v>
      </c>
      <c r="B140" t="s">
        <v>723</v>
      </c>
      <c r="C140" s="695">
        <v>46082</v>
      </c>
      <c r="D140" s="5">
        <v>10</v>
      </c>
      <c r="E140" s="701">
        <f>+G93</f>
        <v>5076.666666666667</v>
      </c>
      <c r="F140" s="701">
        <f>+J93</f>
        <v>4569</v>
      </c>
      <c r="G140" s="701"/>
      <c r="H140" s="701">
        <v>507.66666666666669</v>
      </c>
      <c r="I140" s="701"/>
      <c r="J140" s="785">
        <f>+F140-H140</f>
        <v>4061.3333333333335</v>
      </c>
      <c r="K140" s="701"/>
      <c r="L140" s="785">
        <f>+J134+J137+J140</f>
        <v>32059.383333333331</v>
      </c>
      <c r="M140" s="5"/>
    </row>
    <row r="141" spans="1:22" ht="14.5" x14ac:dyDescent="0.35">
      <c r="A141" s="5"/>
      <c r="C141" s="695">
        <v>46082</v>
      </c>
      <c r="D141" s="5"/>
      <c r="E141" s="701"/>
      <c r="F141" s="701"/>
      <c r="G141" s="701"/>
      <c r="H141" s="701"/>
      <c r="I141" s="701"/>
      <c r="J141" s="701"/>
      <c r="K141" s="701"/>
      <c r="M141" s="5"/>
    </row>
    <row r="142" spans="1:22" ht="14.5" x14ac:dyDescent="0.35">
      <c r="A142" s="5"/>
      <c r="C142" s="695"/>
      <c r="D142" s="5"/>
      <c r="E142" s="701"/>
      <c r="F142" s="701"/>
      <c r="G142" s="701"/>
      <c r="H142" s="701"/>
      <c r="I142" s="701"/>
      <c r="J142" s="701"/>
      <c r="K142" s="701"/>
      <c r="M142" s="5"/>
    </row>
    <row r="143" spans="1:22" ht="14.5" x14ac:dyDescent="0.35">
      <c r="A143" s="5"/>
      <c r="C143" s="695"/>
      <c r="D143" s="5"/>
      <c r="E143" s="701"/>
      <c r="F143" s="701"/>
      <c r="G143" s="701"/>
      <c r="H143" s="701"/>
      <c r="I143" s="701"/>
      <c r="J143" s="701"/>
      <c r="K143" s="701"/>
      <c r="M143" s="5">
        <v>4</v>
      </c>
      <c r="N143" t="s">
        <v>718</v>
      </c>
      <c r="O143" s="695">
        <v>45597</v>
      </c>
      <c r="P143" s="5">
        <f>+P$18</f>
        <v>5</v>
      </c>
      <c r="Q143" s="701">
        <f>+Q96</f>
        <v>13150</v>
      </c>
      <c r="R143" s="701">
        <f>+V96</f>
        <v>6575</v>
      </c>
      <c r="S143" s="701"/>
      <c r="T143" s="701">
        <f>+Q143/P143</f>
        <v>2630</v>
      </c>
      <c r="U143" s="701"/>
      <c r="V143" s="712">
        <f>+R143+S143-T143-U143</f>
        <v>3945</v>
      </c>
    </row>
    <row r="144" spans="1:22" ht="14.5" x14ac:dyDescent="0.35">
      <c r="A144" s="5"/>
      <c r="C144" s="695"/>
      <c r="D144" s="5"/>
      <c r="E144" s="701"/>
      <c r="F144" s="701"/>
      <c r="G144" s="701"/>
      <c r="H144" s="701"/>
      <c r="I144" s="701"/>
      <c r="J144" s="701"/>
      <c r="K144" s="701"/>
      <c r="M144" s="5"/>
      <c r="O144" s="695">
        <v>45901</v>
      </c>
      <c r="P144" s="5"/>
      <c r="Q144" s="701"/>
      <c r="R144" s="701"/>
      <c r="S144" s="701"/>
      <c r="T144" s="701"/>
      <c r="U144" s="701"/>
      <c r="V144" s="701"/>
    </row>
    <row r="145" spans="1:22" ht="14.5" x14ac:dyDescent="0.35">
      <c r="A145" s="5"/>
      <c r="C145" s="695"/>
      <c r="D145" s="5"/>
      <c r="E145" s="701"/>
      <c r="F145" s="701"/>
      <c r="G145" s="701"/>
      <c r="H145" s="701"/>
      <c r="I145" s="701"/>
      <c r="J145" s="701"/>
      <c r="K145" s="701"/>
      <c r="M145" s="5"/>
      <c r="O145" s="695"/>
      <c r="P145" s="5"/>
      <c r="Q145" s="701"/>
      <c r="R145" s="701"/>
      <c r="S145" s="701"/>
      <c r="T145" s="701"/>
      <c r="U145" s="701"/>
      <c r="V145" s="701"/>
    </row>
    <row r="146" spans="1:22" ht="14.5" x14ac:dyDescent="0.35">
      <c r="A146" s="5"/>
      <c r="C146" s="695"/>
      <c r="D146" s="5"/>
      <c r="E146" s="701"/>
      <c r="F146" s="701"/>
      <c r="G146" s="701"/>
      <c r="H146" s="701"/>
      <c r="I146" s="701"/>
      <c r="J146" s="701"/>
      <c r="K146" s="701"/>
      <c r="M146" s="710" t="s">
        <v>725</v>
      </c>
      <c r="N146" t="s">
        <v>846</v>
      </c>
      <c r="O146" s="695">
        <v>45778</v>
      </c>
      <c r="P146" s="5">
        <v>15</v>
      </c>
      <c r="Q146" s="701">
        <f>+Q99</f>
        <v>133275</v>
      </c>
      <c r="R146" s="701">
        <f>+V99</f>
        <v>115505</v>
      </c>
      <c r="S146" s="705">
        <f>-Foerdergn!AT106</f>
        <v>0</v>
      </c>
      <c r="T146" s="701">
        <f>+Q146/P146</f>
        <v>8885</v>
      </c>
      <c r="U146" s="701"/>
      <c r="V146" s="712">
        <f>+R146+S146-T146-U146</f>
        <v>106620</v>
      </c>
    </row>
    <row r="147" spans="1:22" ht="14.5" x14ac:dyDescent="0.35">
      <c r="A147" s="5"/>
      <c r="C147" s="695"/>
      <c r="D147" s="5"/>
      <c r="E147" s="701"/>
      <c r="F147" s="701"/>
      <c r="G147" s="701"/>
      <c r="H147" s="701"/>
      <c r="I147" s="701"/>
      <c r="J147" s="701"/>
      <c r="K147" s="701"/>
      <c r="M147" s="5"/>
      <c r="O147" s="695">
        <v>45901</v>
      </c>
      <c r="P147" s="5"/>
      <c r="Q147" s="701"/>
      <c r="R147" s="701"/>
      <c r="S147" s="705"/>
      <c r="T147" s="701"/>
      <c r="U147" s="701"/>
      <c r="V147" s="701"/>
    </row>
    <row r="148" spans="1:22" ht="14.5" x14ac:dyDescent="0.35">
      <c r="A148" s="5"/>
      <c r="C148" s="695"/>
      <c r="D148" s="5"/>
      <c r="E148" s="701"/>
      <c r="F148" s="701"/>
      <c r="G148" s="701"/>
      <c r="H148" s="701"/>
      <c r="I148" s="701"/>
      <c r="J148" s="701"/>
      <c r="K148" s="701"/>
      <c r="M148" s="5"/>
      <c r="O148" s="696"/>
      <c r="P148" s="5"/>
      <c r="Q148" s="701"/>
      <c r="R148" s="701"/>
      <c r="S148" s="701"/>
      <c r="T148" s="701"/>
      <c r="U148" s="701"/>
      <c r="V148" s="701"/>
    </row>
    <row r="149" spans="1:22" ht="14.5" x14ac:dyDescent="0.35">
      <c r="A149" s="5"/>
      <c r="C149" s="695"/>
      <c r="D149" s="5"/>
      <c r="E149" s="701"/>
      <c r="F149" s="701"/>
      <c r="G149" s="701"/>
      <c r="H149" s="701"/>
      <c r="I149" s="701"/>
      <c r="J149" s="701"/>
      <c r="K149" s="701"/>
      <c r="M149" s="710" t="s">
        <v>727</v>
      </c>
      <c r="N149" t="s">
        <v>847</v>
      </c>
      <c r="O149" s="695">
        <v>45778</v>
      </c>
      <c r="P149" s="5">
        <v>5</v>
      </c>
      <c r="Q149" s="701">
        <f>Q102</f>
        <v>20500</v>
      </c>
      <c r="R149" s="701">
        <f>V102</f>
        <v>12300</v>
      </c>
      <c r="S149" s="705">
        <f>-Foerdergn!BH69</f>
        <v>0</v>
      </c>
      <c r="T149" s="701">
        <f>Q149/5</f>
        <v>4100</v>
      </c>
      <c r="U149" s="701"/>
      <c r="V149" s="712">
        <f>+R149+S149-T149-U149</f>
        <v>8200</v>
      </c>
    </row>
    <row r="150" spans="1:22" ht="14.5" x14ac:dyDescent="0.35">
      <c r="A150" s="5"/>
      <c r="C150" s="695"/>
      <c r="D150" s="5"/>
      <c r="E150" s="701"/>
      <c r="F150" s="701"/>
      <c r="G150" s="701"/>
      <c r="H150" s="701"/>
      <c r="I150" s="701"/>
      <c r="J150" s="701"/>
      <c r="K150" s="701"/>
      <c r="M150" s="5"/>
      <c r="O150" s="695">
        <v>45931</v>
      </c>
      <c r="P150" s="5"/>
      <c r="Q150" s="701"/>
      <c r="R150" s="701"/>
      <c r="S150" s="705"/>
      <c r="T150" s="701"/>
      <c r="U150" s="701"/>
      <c r="V150" s="701"/>
    </row>
    <row r="151" spans="1:22" ht="14.5" x14ac:dyDescent="0.35">
      <c r="A151" s="5"/>
      <c r="C151" s="695"/>
      <c r="D151" s="5"/>
      <c r="E151" s="701"/>
      <c r="F151" s="701"/>
      <c r="G151" s="701"/>
      <c r="H151" s="701"/>
      <c r="I151" s="701"/>
      <c r="J151" s="701"/>
      <c r="K151" s="701"/>
      <c r="M151" s="5"/>
      <c r="O151" s="695"/>
      <c r="P151" s="5"/>
      <c r="Q151" s="701"/>
      <c r="R151" s="701"/>
      <c r="S151" s="705"/>
      <c r="T151" s="701"/>
      <c r="U151" s="701"/>
      <c r="V151" s="701"/>
    </row>
    <row r="152" spans="1:22" ht="14.5" x14ac:dyDescent="0.35">
      <c r="A152" s="5"/>
      <c r="C152" s="695"/>
      <c r="D152" s="5"/>
      <c r="E152" s="701"/>
      <c r="F152" s="701"/>
      <c r="G152" s="701"/>
      <c r="H152" s="701"/>
      <c r="I152" s="701"/>
      <c r="J152" s="701"/>
      <c r="K152" s="701"/>
      <c r="M152" s="710" t="s">
        <v>727</v>
      </c>
      <c r="N152" t="s">
        <v>851</v>
      </c>
      <c r="O152" s="695">
        <v>46143</v>
      </c>
      <c r="P152" s="5">
        <v>15</v>
      </c>
      <c r="Q152" s="701">
        <f>S105</f>
        <v>15000</v>
      </c>
      <c r="R152" s="701">
        <f>V105</f>
        <v>14000</v>
      </c>
      <c r="S152" s="705">
        <f>Foerdergn!E58</f>
        <v>0</v>
      </c>
      <c r="T152" s="701">
        <f>Q152/P152</f>
        <v>1000</v>
      </c>
      <c r="U152" s="701"/>
      <c r="V152" s="712">
        <f t="shared" ref="V152" si="4">+R152+S152-T152-U152</f>
        <v>13000</v>
      </c>
    </row>
    <row r="153" spans="1:22" ht="14.5" x14ac:dyDescent="0.35">
      <c r="A153" s="5"/>
      <c r="C153" s="695"/>
      <c r="D153" s="5"/>
      <c r="E153" s="701"/>
      <c r="F153" s="701"/>
      <c r="G153" s="701"/>
      <c r="H153" s="701"/>
      <c r="I153" s="701"/>
      <c r="J153" s="701"/>
      <c r="K153" s="701"/>
      <c r="M153" s="5"/>
      <c r="O153" s="695">
        <v>46143</v>
      </c>
      <c r="P153" s="5"/>
      <c r="Q153" s="701"/>
      <c r="R153" s="701"/>
      <c r="S153" s="705"/>
      <c r="T153" s="701"/>
      <c r="U153" s="701"/>
      <c r="V153" s="701"/>
    </row>
    <row r="154" spans="1:22" ht="14.5" x14ac:dyDescent="0.35">
      <c r="A154" s="697"/>
      <c r="B154" s="698"/>
      <c r="C154" s="698"/>
      <c r="D154" s="698"/>
      <c r="E154" s="698"/>
      <c r="F154" s="703"/>
      <c r="G154" s="703"/>
      <c r="H154" s="704"/>
      <c r="I154" s="704"/>
      <c r="J154" s="704"/>
      <c r="K154" s="701"/>
      <c r="M154" s="697"/>
      <c r="N154" s="698"/>
      <c r="O154" s="698"/>
      <c r="P154" s="698"/>
      <c r="Q154" s="698"/>
      <c r="R154" s="703"/>
      <c r="S154" s="703"/>
      <c r="T154" s="704"/>
      <c r="U154" s="704"/>
      <c r="V154" s="704"/>
    </row>
    <row r="155" spans="1:22" ht="14.5" x14ac:dyDescent="0.35">
      <c r="A155" s="5"/>
      <c r="F155" s="705"/>
      <c r="G155" s="705"/>
      <c r="H155" s="701"/>
      <c r="I155" s="701"/>
      <c r="J155" s="701"/>
      <c r="K155" s="701"/>
      <c r="M155" s="5"/>
      <c r="R155" s="705"/>
      <c r="S155" s="705"/>
      <c r="T155" s="701"/>
      <c r="U155" s="701"/>
      <c r="V155" s="701"/>
    </row>
    <row r="156" spans="1:22" ht="14.5" x14ac:dyDescent="0.35">
      <c r="A156" s="5"/>
      <c r="E156" s="6">
        <f>SUM(E122:E153)</f>
        <v>1099825.3866666667</v>
      </c>
      <c r="F156" s="6">
        <f>SUM(F122:F153)</f>
        <v>968462.89800000004</v>
      </c>
      <c r="G156" s="6">
        <f>SUM(G122:G153)</f>
        <v>0</v>
      </c>
      <c r="H156" s="714">
        <f>SUM(H122:H153)</f>
        <v>85802.914666666664</v>
      </c>
      <c r="I156" s="6"/>
      <c r="J156" s="714">
        <f>SUM(J122:J153)</f>
        <v>882659.98333333351</v>
      </c>
      <c r="K156" s="714"/>
      <c r="M156" s="5"/>
      <c r="Q156" s="6">
        <f>SUM(Q122:Q153)</f>
        <v>181925</v>
      </c>
      <c r="R156" s="6">
        <f>SUM(R122:R153)</f>
        <v>148380</v>
      </c>
      <c r="S156" s="6">
        <f>SUM(S122:S153)</f>
        <v>0</v>
      </c>
      <c r="T156" s="714">
        <f>SUM(T122:T153)</f>
        <v>16615</v>
      </c>
      <c r="U156" s="6"/>
      <c r="V156" s="714">
        <f>SUM(V122:V153)</f>
        <v>131765</v>
      </c>
    </row>
    <row r="157" spans="1:22" ht="15" thickBot="1" x14ac:dyDescent="0.4">
      <c r="A157" s="706"/>
      <c r="B157" s="707"/>
      <c r="C157" s="707"/>
      <c r="D157" s="707"/>
      <c r="E157" s="707"/>
      <c r="F157" s="708"/>
      <c r="G157" s="708"/>
      <c r="H157" s="709"/>
      <c r="I157" s="709"/>
      <c r="J157" s="709"/>
      <c r="K157" s="701"/>
      <c r="M157" s="706"/>
      <c r="N157" s="707"/>
      <c r="O157" s="707"/>
      <c r="P157" s="707"/>
      <c r="Q157" s="707"/>
      <c r="R157" s="708"/>
      <c r="S157" s="708"/>
      <c r="T157" s="709"/>
      <c r="U157" s="709"/>
      <c r="V157" s="709"/>
    </row>
    <row r="158" spans="1:22" ht="14.25" customHeight="1" thickTop="1" x14ac:dyDescent="0.35"/>
    <row r="161" spans="1:22" ht="21" x14ac:dyDescent="0.5">
      <c r="A161" s="694" t="s">
        <v>729</v>
      </c>
      <c r="M161" s="694" t="s">
        <v>829</v>
      </c>
    </row>
    <row r="164" spans="1:22" ht="14.5" x14ac:dyDescent="0.35">
      <c r="A164" s="5" t="s">
        <v>702</v>
      </c>
      <c r="B164" t="s">
        <v>703</v>
      </c>
      <c r="C164" s="5" t="s">
        <v>704</v>
      </c>
      <c r="D164" s="5" t="s">
        <v>705</v>
      </c>
      <c r="E164" s="5" t="s">
        <v>706</v>
      </c>
      <c r="F164" s="5" t="s">
        <v>707</v>
      </c>
      <c r="G164" s="5" t="s">
        <v>708</v>
      </c>
      <c r="H164" s="5" t="s">
        <v>303</v>
      </c>
      <c r="I164" s="5" t="s">
        <v>709</v>
      </c>
      <c r="J164" s="5" t="s">
        <v>710</v>
      </c>
      <c r="K164" s="5"/>
      <c r="M164" s="5" t="s">
        <v>702</v>
      </c>
      <c r="N164" t="s">
        <v>703</v>
      </c>
      <c r="O164" s="5" t="s">
        <v>704</v>
      </c>
      <c r="P164" s="5" t="s">
        <v>705</v>
      </c>
      <c r="Q164" s="5" t="s">
        <v>706</v>
      </c>
      <c r="R164" s="5" t="s">
        <v>707</v>
      </c>
      <c r="S164" s="5" t="s">
        <v>708</v>
      </c>
      <c r="T164" s="5" t="s">
        <v>830</v>
      </c>
      <c r="U164" s="5" t="s">
        <v>709</v>
      </c>
      <c r="V164" s="5" t="s">
        <v>710</v>
      </c>
    </row>
    <row r="165" spans="1:22" ht="14.5" x14ac:dyDescent="0.35">
      <c r="A165" s="5"/>
      <c r="C165" s="5" t="s">
        <v>711</v>
      </c>
      <c r="D165" s="5" t="s">
        <v>712</v>
      </c>
      <c r="E165" s="5" t="s">
        <v>713</v>
      </c>
      <c r="F165" s="695">
        <f>+J119</f>
        <v>46783</v>
      </c>
      <c r="G165" s="696"/>
      <c r="H165" s="5"/>
      <c r="I165" s="5"/>
      <c r="J165" s="695">
        <v>47149</v>
      </c>
      <c r="K165" s="695"/>
      <c r="M165" s="5"/>
      <c r="O165" s="5" t="s">
        <v>711</v>
      </c>
      <c r="P165" s="5" t="s">
        <v>712</v>
      </c>
      <c r="Q165" s="5" t="s">
        <v>713</v>
      </c>
      <c r="R165" s="695">
        <f>+V119</f>
        <v>46783</v>
      </c>
      <c r="S165" s="696"/>
      <c r="T165" s="5"/>
      <c r="U165" s="5"/>
      <c r="V165" s="695">
        <v>47149</v>
      </c>
    </row>
    <row r="166" spans="1:22" ht="14.5" x14ac:dyDescent="0.35">
      <c r="A166" s="697"/>
      <c r="B166" s="698"/>
      <c r="C166" s="697" t="s">
        <v>714</v>
      </c>
      <c r="D166" s="697"/>
      <c r="E166" s="697"/>
      <c r="F166" s="697"/>
      <c r="G166" s="697"/>
      <c r="H166" s="697"/>
      <c r="I166" s="697"/>
      <c r="J166" s="697"/>
      <c r="K166" s="5"/>
      <c r="M166" s="697"/>
      <c r="N166" s="698"/>
      <c r="O166" s="697" t="s">
        <v>714</v>
      </c>
      <c r="P166" s="697"/>
      <c r="Q166" s="697"/>
      <c r="R166" s="697"/>
      <c r="S166" s="697"/>
      <c r="T166" s="697"/>
      <c r="U166" s="697"/>
      <c r="V166" s="697"/>
    </row>
    <row r="167" spans="1:22" ht="14.5" x14ac:dyDescent="0.35">
      <c r="A167" s="5"/>
      <c r="M167" s="5"/>
    </row>
    <row r="168" spans="1:22" ht="14.5" x14ac:dyDescent="0.35">
      <c r="A168" s="5">
        <v>1</v>
      </c>
      <c r="B168" t="s">
        <v>720</v>
      </c>
      <c r="C168" s="695">
        <v>45689</v>
      </c>
      <c r="D168" s="5">
        <f>+D$9</f>
        <v>5</v>
      </c>
      <c r="E168" s="701">
        <f>+E122</f>
        <v>13700</v>
      </c>
      <c r="F168" s="701">
        <f>+J122</f>
        <v>4110</v>
      </c>
      <c r="G168" s="701"/>
      <c r="H168" s="701">
        <f>+E168/D168</f>
        <v>2740</v>
      </c>
      <c r="I168" s="701"/>
      <c r="J168" s="783">
        <f>+F168+G168-H168-I168</f>
        <v>1370</v>
      </c>
      <c r="K168" s="701"/>
      <c r="M168" s="5"/>
    </row>
    <row r="169" spans="1:22" ht="14.5" x14ac:dyDescent="0.35">
      <c r="A169" s="5"/>
      <c r="C169" s="695">
        <v>45931</v>
      </c>
      <c r="D169" s="5"/>
      <c r="E169" s="701"/>
      <c r="F169" s="701"/>
      <c r="G169" s="701"/>
      <c r="H169" s="701"/>
      <c r="I169" s="701"/>
      <c r="J169" s="701"/>
      <c r="K169" s="701"/>
      <c r="M169" s="5"/>
    </row>
    <row r="170" spans="1:22" ht="14.5" x14ac:dyDescent="0.35">
      <c r="A170" s="5"/>
      <c r="C170" s="695"/>
      <c r="D170" s="5"/>
      <c r="E170" s="701"/>
      <c r="F170" s="701"/>
      <c r="G170" s="701"/>
      <c r="H170" s="701"/>
      <c r="I170" s="701"/>
      <c r="J170" s="701"/>
      <c r="K170" s="701"/>
      <c r="M170" s="5"/>
    </row>
    <row r="171" spans="1:22" ht="14.5" x14ac:dyDescent="0.35">
      <c r="A171" s="710" t="s">
        <v>721</v>
      </c>
      <c r="B171" t="s">
        <v>720</v>
      </c>
      <c r="C171" s="695">
        <v>45809</v>
      </c>
      <c r="D171" s="5">
        <v>5</v>
      </c>
      <c r="E171" s="701">
        <f>G38</f>
        <v>69250</v>
      </c>
      <c r="F171" s="701">
        <f>+J125</f>
        <v>34625</v>
      </c>
      <c r="G171" s="701"/>
      <c r="H171" s="701">
        <f>+E171/D171</f>
        <v>13850</v>
      </c>
      <c r="I171" s="701"/>
      <c r="J171" s="783">
        <f>+F171+G171-H171-I171</f>
        <v>20775</v>
      </c>
      <c r="K171" s="701"/>
      <c r="L171" s="783">
        <f>+J168+J171</f>
        <v>22145</v>
      </c>
      <c r="M171" s="5"/>
    </row>
    <row r="172" spans="1:22" ht="14.5" x14ac:dyDescent="0.35">
      <c r="A172" s="5"/>
      <c r="C172" s="695">
        <v>45931</v>
      </c>
      <c r="D172" s="5"/>
      <c r="E172" s="701"/>
      <c r="F172" s="701"/>
      <c r="G172" s="701"/>
      <c r="H172" s="701"/>
      <c r="I172" s="701"/>
      <c r="J172" s="701"/>
      <c r="K172" s="701"/>
      <c r="M172" s="5"/>
    </row>
    <row r="173" spans="1:22" ht="14.5" x14ac:dyDescent="0.35">
      <c r="A173" s="5"/>
      <c r="C173" s="695"/>
      <c r="D173" s="5"/>
      <c r="E173" s="701"/>
      <c r="F173" s="701"/>
      <c r="G173" s="701"/>
      <c r="H173" s="701"/>
      <c r="I173" s="701"/>
      <c r="J173" s="701"/>
      <c r="K173" s="701"/>
      <c r="M173" s="5"/>
    </row>
    <row r="174" spans="1:22" ht="14.5" x14ac:dyDescent="0.35">
      <c r="A174" s="5">
        <v>2</v>
      </c>
      <c r="B174" t="s">
        <v>716</v>
      </c>
      <c r="C174" s="695">
        <v>45597</v>
      </c>
      <c r="D174" s="5">
        <f>+D$12</f>
        <v>15</v>
      </c>
      <c r="E174" s="701">
        <f>+E$12</f>
        <v>35664.71</v>
      </c>
      <c r="F174" s="701">
        <f>+J128</f>
        <v>29720.591666666667</v>
      </c>
      <c r="G174" s="701"/>
      <c r="H174" s="701">
        <f>+E174/D174</f>
        <v>2377.6473333333333</v>
      </c>
      <c r="I174" s="701"/>
      <c r="J174" s="711">
        <f>+F174+G174-H174-I174</f>
        <v>27342.944333333333</v>
      </c>
      <c r="K174" s="701"/>
      <c r="M174" s="5"/>
    </row>
    <row r="175" spans="1:22" ht="14.5" x14ac:dyDescent="0.35">
      <c r="A175" s="5"/>
      <c r="C175" s="695">
        <v>45931</v>
      </c>
      <c r="D175" s="5"/>
      <c r="E175" s="701"/>
      <c r="F175" s="701"/>
      <c r="G175" s="701"/>
      <c r="H175" s="701"/>
      <c r="I175" s="701"/>
      <c r="J175" s="701"/>
      <c r="K175" s="701"/>
      <c r="M175" s="5"/>
    </row>
    <row r="176" spans="1:22" ht="14.5" x14ac:dyDescent="0.35">
      <c r="A176" s="5"/>
      <c r="C176" s="695"/>
      <c r="D176" s="5"/>
      <c r="E176" s="701"/>
      <c r="F176" s="701"/>
      <c r="G176" s="701"/>
      <c r="H176" s="701"/>
      <c r="I176" s="701"/>
      <c r="J176" s="701"/>
      <c r="K176" s="701"/>
      <c r="M176" s="5"/>
    </row>
    <row r="177" spans="1:22" ht="14.5" x14ac:dyDescent="0.35">
      <c r="A177" s="710" t="s">
        <v>722</v>
      </c>
      <c r="B177" t="s">
        <v>716</v>
      </c>
      <c r="C177" s="695">
        <v>45717</v>
      </c>
      <c r="D177" s="5">
        <f>+D131</f>
        <v>15</v>
      </c>
      <c r="E177" s="701">
        <f>+E131</f>
        <v>938574.01</v>
      </c>
      <c r="F177" s="701">
        <f>+J131</f>
        <v>782145.00833333342</v>
      </c>
      <c r="G177" s="701"/>
      <c r="H177" s="701">
        <f>+E177/D177</f>
        <v>62571.600666666665</v>
      </c>
      <c r="I177" s="701"/>
      <c r="J177" s="711">
        <f>+F177+G177-H177-I177</f>
        <v>719573.40766666678</v>
      </c>
      <c r="K177" s="701"/>
      <c r="L177" s="711">
        <f>+J174+J177</f>
        <v>746916.35200000007</v>
      </c>
      <c r="M177" s="5"/>
    </row>
    <row r="178" spans="1:22" ht="14.5" x14ac:dyDescent="0.35">
      <c r="A178" s="5"/>
      <c r="C178" s="695">
        <v>45931</v>
      </c>
      <c r="D178" s="5"/>
      <c r="E178" s="701"/>
      <c r="F178" s="701"/>
      <c r="G178" s="701"/>
      <c r="H178" s="701"/>
      <c r="I178" s="701"/>
      <c r="J178" s="701"/>
      <c r="K178" s="701"/>
      <c r="M178" s="5"/>
    </row>
    <row r="179" spans="1:22" ht="14.5" x14ac:dyDescent="0.35">
      <c r="A179" s="5"/>
      <c r="C179" s="695"/>
      <c r="D179" s="5"/>
      <c r="E179" s="701"/>
      <c r="F179" s="701"/>
      <c r="G179" s="701"/>
      <c r="H179" s="701"/>
      <c r="I179" s="701"/>
      <c r="J179" s="701"/>
      <c r="K179" s="701"/>
      <c r="M179" s="5"/>
    </row>
    <row r="180" spans="1:22" ht="14.5" x14ac:dyDescent="0.35">
      <c r="A180" s="5">
        <v>3</v>
      </c>
      <c r="B180" t="s">
        <v>723</v>
      </c>
      <c r="C180" s="695">
        <v>45597</v>
      </c>
      <c r="D180" s="5">
        <f>+D$15</f>
        <v>10</v>
      </c>
      <c r="E180" s="701">
        <f>+E$15</f>
        <v>1810</v>
      </c>
      <c r="F180" s="701">
        <f>J134</f>
        <v>1185.55</v>
      </c>
      <c r="G180" s="701"/>
      <c r="H180" s="701">
        <f>+E180/D180</f>
        <v>181</v>
      </c>
      <c r="I180" s="701"/>
      <c r="J180" s="785">
        <f>+F180+G180-H180-I180</f>
        <v>1004.55</v>
      </c>
      <c r="K180" s="701"/>
      <c r="M180" s="5"/>
    </row>
    <row r="181" spans="1:22" ht="14.5" x14ac:dyDescent="0.35">
      <c r="A181" s="5"/>
      <c r="C181" s="695">
        <v>45931</v>
      </c>
      <c r="D181" s="5"/>
      <c r="E181" s="701"/>
      <c r="F181" s="701"/>
      <c r="G181" s="701"/>
      <c r="H181" s="701"/>
      <c r="I181" s="701"/>
      <c r="J181" s="701"/>
      <c r="K181" s="701"/>
      <c r="M181" s="5"/>
    </row>
    <row r="182" spans="1:22" ht="14.5" x14ac:dyDescent="0.35">
      <c r="A182" s="5"/>
      <c r="C182" s="695"/>
      <c r="D182" s="5"/>
      <c r="E182" s="701"/>
      <c r="F182" s="701"/>
      <c r="G182" s="701"/>
      <c r="H182" s="701"/>
      <c r="I182" s="701"/>
      <c r="J182" s="701"/>
      <c r="K182" s="701"/>
      <c r="M182" s="5"/>
    </row>
    <row r="183" spans="1:22" ht="14.5" x14ac:dyDescent="0.35">
      <c r="A183" s="710" t="s">
        <v>724</v>
      </c>
      <c r="B183" t="s">
        <v>723</v>
      </c>
      <c r="C183" s="695">
        <v>45717</v>
      </c>
      <c r="D183" s="5">
        <v>10</v>
      </c>
      <c r="E183" s="701">
        <f>+E137</f>
        <v>35750</v>
      </c>
      <c r="F183" s="701">
        <f>+J137</f>
        <v>26812.5</v>
      </c>
      <c r="G183" s="701"/>
      <c r="H183" s="701">
        <f>+E183/D183</f>
        <v>3575</v>
      </c>
      <c r="I183" s="701"/>
      <c r="J183" s="785">
        <f>+F183+G183-H183-I183</f>
        <v>23237.5</v>
      </c>
      <c r="K183" s="701"/>
      <c r="M183" s="5"/>
    </row>
    <row r="184" spans="1:22" ht="14.5" x14ac:dyDescent="0.35">
      <c r="A184" s="5"/>
      <c r="C184" s="695">
        <v>45931</v>
      </c>
      <c r="D184" s="5"/>
      <c r="E184" s="701"/>
      <c r="F184" s="701"/>
      <c r="G184" s="701"/>
      <c r="H184" s="701"/>
      <c r="I184" s="701"/>
      <c r="J184" s="701"/>
      <c r="K184" s="701"/>
      <c r="M184" s="5"/>
    </row>
    <row r="185" spans="1:22" ht="14.5" x14ac:dyDescent="0.35">
      <c r="A185" s="5"/>
      <c r="C185" s="695"/>
      <c r="D185" s="5"/>
      <c r="E185" s="701"/>
      <c r="F185" s="701"/>
      <c r="G185" s="701"/>
      <c r="H185" s="701"/>
      <c r="I185" s="701"/>
      <c r="J185" s="701"/>
      <c r="K185" s="701"/>
      <c r="M185" s="5"/>
    </row>
    <row r="186" spans="1:22" ht="14.5" x14ac:dyDescent="0.35">
      <c r="A186" s="779" t="s">
        <v>824</v>
      </c>
      <c r="B186" t="s">
        <v>723</v>
      </c>
      <c r="C186" s="695">
        <v>46082</v>
      </c>
      <c r="D186" s="5">
        <v>10</v>
      </c>
      <c r="E186" s="701">
        <f>+E140</f>
        <v>5076.666666666667</v>
      </c>
      <c r="F186" s="701">
        <f>+J140</f>
        <v>4061.3333333333335</v>
      </c>
      <c r="G186" s="701"/>
      <c r="H186" s="701">
        <v>507.66666666666669</v>
      </c>
      <c r="I186" s="701"/>
      <c r="J186" s="785">
        <f>+F186-H186</f>
        <v>3553.666666666667</v>
      </c>
      <c r="K186" s="701"/>
      <c r="L186" s="785">
        <f>+J180+J183+J186</f>
        <v>27795.716666666667</v>
      </c>
      <c r="M186" s="5"/>
    </row>
    <row r="187" spans="1:22" ht="14.5" x14ac:dyDescent="0.35">
      <c r="A187" s="5"/>
      <c r="C187" s="695">
        <v>46082</v>
      </c>
      <c r="D187" s="5"/>
      <c r="E187" s="701"/>
      <c r="F187" s="701"/>
      <c r="G187" s="701"/>
      <c r="H187" s="701"/>
      <c r="I187" s="701"/>
      <c r="J187" s="701"/>
      <c r="K187" s="701"/>
      <c r="M187" s="5"/>
      <c r="O187" s="695"/>
      <c r="P187" s="5"/>
      <c r="Q187" s="701"/>
      <c r="R187" s="701"/>
      <c r="S187" s="701"/>
      <c r="T187" s="701"/>
      <c r="U187" s="701"/>
      <c r="V187" s="701"/>
    </row>
    <row r="188" spans="1:22" ht="14.5" x14ac:dyDescent="0.35">
      <c r="A188" s="5"/>
      <c r="C188" s="695"/>
      <c r="D188" s="5"/>
      <c r="E188" s="701"/>
      <c r="F188" s="701"/>
      <c r="G188" s="701"/>
      <c r="H188" s="701"/>
      <c r="I188" s="701"/>
      <c r="J188" s="701"/>
      <c r="K188" s="701"/>
      <c r="M188" s="5"/>
      <c r="O188" s="695"/>
      <c r="P188" s="5"/>
      <c r="Q188" s="701"/>
      <c r="R188" s="701"/>
      <c r="S188" s="701"/>
      <c r="T188" s="701"/>
      <c r="U188" s="701"/>
      <c r="V188" s="701"/>
    </row>
    <row r="189" spans="1:22" ht="14.5" x14ac:dyDescent="0.35">
      <c r="A189" s="5"/>
      <c r="C189" s="695"/>
      <c r="D189" s="5"/>
      <c r="E189" s="701"/>
      <c r="F189" s="701"/>
      <c r="G189" s="701"/>
      <c r="H189" s="701"/>
      <c r="I189" s="701"/>
      <c r="J189" s="701"/>
      <c r="K189" s="701"/>
      <c r="M189" s="5">
        <v>4</v>
      </c>
      <c r="N189" t="s">
        <v>718</v>
      </c>
      <c r="O189" s="695">
        <v>45597</v>
      </c>
      <c r="P189" s="5">
        <f>+P$18</f>
        <v>5</v>
      </c>
      <c r="Q189" s="701">
        <f>+Q143</f>
        <v>13150</v>
      </c>
      <c r="R189" s="701">
        <f>+V143</f>
        <v>3945</v>
      </c>
      <c r="S189" s="701"/>
      <c r="T189" s="701">
        <f>+Q189/P189</f>
        <v>2630</v>
      </c>
      <c r="U189" s="701"/>
      <c r="V189" s="712">
        <f>+R189+S189-T189-U189</f>
        <v>1315</v>
      </c>
    </row>
    <row r="190" spans="1:22" ht="14.5" x14ac:dyDescent="0.35">
      <c r="A190" s="5"/>
      <c r="C190" s="695"/>
      <c r="D190" s="5"/>
      <c r="E190" s="701"/>
      <c r="F190" s="701"/>
      <c r="G190" s="701"/>
      <c r="H190" s="701"/>
      <c r="I190" s="701"/>
      <c r="J190" s="701"/>
      <c r="K190" s="701"/>
      <c r="M190" s="5"/>
      <c r="O190" s="695">
        <v>45931</v>
      </c>
      <c r="P190" s="5"/>
      <c r="Q190" s="701"/>
      <c r="R190" s="701"/>
      <c r="S190" s="701"/>
      <c r="T190" s="701"/>
      <c r="U190" s="701"/>
      <c r="V190" s="701"/>
    </row>
    <row r="191" spans="1:22" ht="14.5" x14ac:dyDescent="0.35">
      <c r="A191" s="5"/>
      <c r="C191" s="695"/>
      <c r="D191" s="5"/>
      <c r="E191" s="701"/>
      <c r="F191" s="701"/>
      <c r="G191" s="701"/>
      <c r="H191" s="701"/>
      <c r="I191" s="701"/>
      <c r="J191" s="701"/>
      <c r="K191" s="701"/>
      <c r="M191" s="5"/>
      <c r="O191" s="695"/>
      <c r="P191" s="5"/>
      <c r="Q191" s="701"/>
      <c r="R191" s="701"/>
      <c r="S191" s="701"/>
      <c r="T191" s="701"/>
      <c r="U191" s="701"/>
      <c r="V191" s="701"/>
    </row>
    <row r="192" spans="1:22" ht="14.5" x14ac:dyDescent="0.35">
      <c r="A192" s="5"/>
      <c r="C192" s="695"/>
      <c r="D192" s="5"/>
      <c r="E192" s="701"/>
      <c r="F192" s="701"/>
      <c r="G192" s="701"/>
      <c r="H192" s="701"/>
      <c r="I192" s="701"/>
      <c r="J192" s="701"/>
      <c r="K192" s="701"/>
      <c r="M192" s="710" t="s">
        <v>725</v>
      </c>
      <c r="N192" t="s">
        <v>718</v>
      </c>
      <c r="O192" s="695">
        <v>45778</v>
      </c>
      <c r="P192" s="5">
        <v>15</v>
      </c>
      <c r="Q192" s="701">
        <f>+Q146</f>
        <v>133275</v>
      </c>
      <c r="R192" s="701">
        <f>+V146</f>
        <v>106620</v>
      </c>
      <c r="S192" s="705">
        <f>-Foerdergn!AT152</f>
        <v>0</v>
      </c>
      <c r="T192" s="701">
        <f>+Q192/P192</f>
        <v>8885</v>
      </c>
      <c r="U192" s="701"/>
      <c r="V192" s="712">
        <f>+R192+S192-T192-U192</f>
        <v>97735</v>
      </c>
    </row>
    <row r="193" spans="1:22" ht="14.5" x14ac:dyDescent="0.35">
      <c r="A193" s="5"/>
      <c r="C193" s="695"/>
      <c r="D193" s="5"/>
      <c r="E193" s="701"/>
      <c r="F193" s="701"/>
      <c r="G193" s="701"/>
      <c r="H193" s="701"/>
      <c r="I193" s="701"/>
      <c r="J193" s="701"/>
      <c r="K193" s="701"/>
      <c r="M193" s="5"/>
      <c r="O193" s="695">
        <v>45931</v>
      </c>
      <c r="P193" s="5"/>
      <c r="Q193" s="701"/>
      <c r="R193" s="701"/>
      <c r="S193" s="705"/>
      <c r="T193" s="701"/>
      <c r="U193" s="701"/>
      <c r="V193" s="701"/>
    </row>
    <row r="194" spans="1:22" ht="14.5" x14ac:dyDescent="0.35">
      <c r="A194" s="5"/>
      <c r="C194" s="695"/>
      <c r="D194" s="5"/>
      <c r="E194" s="701"/>
      <c r="F194" s="701"/>
      <c r="G194" s="701"/>
      <c r="H194" s="701"/>
      <c r="I194" s="701"/>
      <c r="J194" s="701"/>
      <c r="K194" s="701"/>
      <c r="M194" s="5"/>
      <c r="O194" s="696"/>
      <c r="P194" s="5"/>
      <c r="Q194" s="701"/>
      <c r="R194" s="701"/>
      <c r="S194" s="701"/>
      <c r="T194" s="701"/>
      <c r="U194" s="701"/>
      <c r="V194" s="701"/>
    </row>
    <row r="195" spans="1:22" ht="14.5" x14ac:dyDescent="0.35">
      <c r="A195" s="5"/>
      <c r="C195" s="695"/>
      <c r="D195" s="5"/>
      <c r="E195" s="701"/>
      <c r="F195" s="701"/>
      <c r="G195" s="701"/>
      <c r="H195" s="701"/>
      <c r="I195" s="701"/>
      <c r="J195" s="701"/>
      <c r="K195" s="701"/>
      <c r="M195" s="710" t="s">
        <v>727</v>
      </c>
      <c r="N195" t="s">
        <v>847</v>
      </c>
      <c r="O195" s="695">
        <v>45778</v>
      </c>
      <c r="P195" s="5">
        <v>5</v>
      </c>
      <c r="Q195" s="701">
        <f>+Q149</f>
        <v>20500</v>
      </c>
      <c r="R195" s="701">
        <f>+V149</f>
        <v>8200</v>
      </c>
      <c r="S195" s="705">
        <f>-Foerdergn!BH115</f>
        <v>0</v>
      </c>
      <c r="T195" s="701">
        <f>+Q195/P195</f>
        <v>4100</v>
      </c>
      <c r="U195" s="701"/>
      <c r="V195" s="712">
        <f>+R195+S195-T195-U195</f>
        <v>4100</v>
      </c>
    </row>
    <row r="196" spans="1:22" ht="14.5" x14ac:dyDescent="0.35">
      <c r="A196" s="5"/>
      <c r="C196" s="695"/>
      <c r="D196" s="5"/>
      <c r="E196" s="701"/>
      <c r="F196" s="701"/>
      <c r="G196" s="701"/>
      <c r="H196" s="701"/>
      <c r="I196" s="701"/>
      <c r="J196" s="701"/>
      <c r="K196" s="701"/>
      <c r="M196" s="5"/>
      <c r="O196" s="695">
        <v>45931</v>
      </c>
      <c r="P196" s="5"/>
      <c r="Q196" s="701"/>
      <c r="R196" s="701"/>
      <c r="S196" s="705"/>
      <c r="T196" s="701"/>
      <c r="U196" s="701"/>
      <c r="V196" s="701"/>
    </row>
    <row r="197" spans="1:22" ht="14.5" x14ac:dyDescent="0.35">
      <c r="A197" s="5"/>
      <c r="C197" s="695"/>
      <c r="D197" s="5"/>
      <c r="E197" s="701"/>
      <c r="F197" s="701"/>
      <c r="G197" s="701"/>
      <c r="H197" s="701"/>
      <c r="I197" s="701"/>
      <c r="J197" s="701"/>
      <c r="K197" s="701"/>
      <c r="M197" s="5"/>
      <c r="O197" s="695"/>
      <c r="P197" s="5"/>
      <c r="Q197" s="701"/>
      <c r="R197" s="701"/>
      <c r="S197" s="705"/>
      <c r="T197" s="701"/>
      <c r="U197" s="701"/>
      <c r="V197" s="701"/>
    </row>
    <row r="198" spans="1:22" ht="14.5" x14ac:dyDescent="0.35">
      <c r="A198" s="5"/>
      <c r="C198" s="695"/>
      <c r="D198" s="5"/>
      <c r="E198" s="701"/>
      <c r="F198" s="701"/>
      <c r="G198" s="701"/>
      <c r="H198" s="701"/>
      <c r="I198" s="701"/>
      <c r="J198" s="701"/>
      <c r="K198" s="701"/>
      <c r="M198" s="710" t="s">
        <v>727</v>
      </c>
      <c r="N198" t="s">
        <v>851</v>
      </c>
      <c r="O198" s="695">
        <v>46143</v>
      </c>
      <c r="P198" s="5">
        <v>15</v>
      </c>
      <c r="Q198" s="701">
        <f>Q152</f>
        <v>15000</v>
      </c>
      <c r="R198" s="701">
        <f>V152</f>
        <v>13000</v>
      </c>
      <c r="S198" s="705">
        <f>Foerdergn!E104</f>
        <v>0</v>
      </c>
      <c r="T198" s="701">
        <f>Q198/P198</f>
        <v>1000</v>
      </c>
      <c r="U198" s="701"/>
      <c r="V198" s="712">
        <f t="shared" ref="V198" si="5">+R198+S198-T198-U198</f>
        <v>12000</v>
      </c>
    </row>
    <row r="199" spans="1:22" ht="14.5" x14ac:dyDescent="0.35">
      <c r="A199" s="5"/>
      <c r="C199" s="696"/>
      <c r="D199" s="5"/>
      <c r="E199" s="701"/>
      <c r="F199" s="701"/>
      <c r="G199" s="701"/>
      <c r="H199" s="701"/>
      <c r="I199" s="701"/>
      <c r="J199" s="701"/>
      <c r="K199" s="701"/>
      <c r="M199" s="5"/>
      <c r="O199" s="695">
        <v>46143</v>
      </c>
      <c r="P199" s="5"/>
      <c r="Q199" s="701"/>
      <c r="R199" s="701"/>
      <c r="S199" s="705"/>
      <c r="T199" s="701"/>
      <c r="U199" s="701"/>
      <c r="V199" s="701"/>
    </row>
    <row r="200" spans="1:22" ht="14.5" x14ac:dyDescent="0.35">
      <c r="A200" s="697"/>
      <c r="B200" s="698"/>
      <c r="C200" s="698"/>
      <c r="D200" s="698"/>
      <c r="E200" s="698"/>
      <c r="F200" s="703"/>
      <c r="G200" s="703"/>
      <c r="H200" s="704"/>
      <c r="I200" s="704"/>
      <c r="J200" s="704"/>
      <c r="K200" s="701"/>
      <c r="M200" s="697"/>
      <c r="N200" s="698"/>
      <c r="O200" s="698"/>
      <c r="P200" s="698"/>
      <c r="Q200" s="698"/>
      <c r="R200" s="703"/>
      <c r="S200" s="703"/>
      <c r="T200" s="704"/>
      <c r="U200" s="704"/>
      <c r="V200" s="704"/>
    </row>
    <row r="201" spans="1:22" ht="14.5" x14ac:dyDescent="0.35">
      <c r="A201" s="5"/>
      <c r="F201" s="705"/>
      <c r="G201" s="705"/>
      <c r="H201" s="701"/>
      <c r="I201" s="701"/>
      <c r="J201" s="701"/>
      <c r="K201" s="701"/>
      <c r="M201" s="5"/>
      <c r="R201" s="705"/>
      <c r="S201" s="705"/>
      <c r="T201" s="701"/>
      <c r="U201" s="701"/>
      <c r="V201" s="701"/>
    </row>
    <row r="202" spans="1:22" ht="14.5" x14ac:dyDescent="0.35">
      <c r="A202" s="5"/>
      <c r="E202" s="701">
        <f t="shared" ref="E202:J202" si="6">SUM(E168:E199)</f>
        <v>1099825.3866666667</v>
      </c>
      <c r="F202" s="701">
        <f t="shared" si="6"/>
        <v>882659.98333333351</v>
      </c>
      <c r="G202" s="701">
        <f t="shared" si="6"/>
        <v>0</v>
      </c>
      <c r="H202" s="713">
        <f t="shared" si="6"/>
        <v>85802.914666666664</v>
      </c>
      <c r="I202" s="701">
        <f t="shared" si="6"/>
        <v>0</v>
      </c>
      <c r="J202" s="713">
        <f t="shared" si="6"/>
        <v>796857.06866666675</v>
      </c>
      <c r="K202" s="713"/>
      <c r="M202" s="5"/>
      <c r="Q202" s="701">
        <f t="shared" ref="Q202:V202" si="7">SUM(Q168:Q199)</f>
        <v>181925</v>
      </c>
      <c r="R202" s="701">
        <f t="shared" si="7"/>
        <v>131765</v>
      </c>
      <c r="S202" s="701">
        <f t="shared" si="7"/>
        <v>0</v>
      </c>
      <c r="T202" s="713">
        <f t="shared" si="7"/>
        <v>16615</v>
      </c>
      <c r="U202" s="701">
        <f t="shared" si="7"/>
        <v>0</v>
      </c>
      <c r="V202" s="713">
        <f t="shared" si="7"/>
        <v>115150</v>
      </c>
    </row>
    <row r="203" spans="1:22" ht="15" thickBot="1" x14ac:dyDescent="0.4">
      <c r="A203" s="706"/>
      <c r="B203" s="707"/>
      <c r="C203" s="707"/>
      <c r="D203" s="707"/>
      <c r="E203" s="707"/>
      <c r="F203" s="708"/>
      <c r="G203" s="708"/>
      <c r="H203" s="709"/>
      <c r="I203" s="709"/>
      <c r="J203" s="709"/>
      <c r="K203" s="701"/>
      <c r="M203" s="706"/>
      <c r="N203" s="707"/>
      <c r="O203" s="707"/>
      <c r="P203" s="707"/>
      <c r="Q203" s="707"/>
      <c r="R203" s="708"/>
      <c r="S203" s="708"/>
      <c r="T203" s="709"/>
      <c r="U203" s="709"/>
      <c r="V203" s="709"/>
    </row>
    <row r="209" spans="1:22" ht="21" x14ac:dyDescent="0.5">
      <c r="A209" s="694" t="s">
        <v>842</v>
      </c>
      <c r="M209" s="694" t="s">
        <v>844</v>
      </c>
    </row>
    <row r="212" spans="1:22" ht="14.5" x14ac:dyDescent="0.35">
      <c r="A212" s="5" t="s">
        <v>702</v>
      </c>
      <c r="B212" t="s">
        <v>703</v>
      </c>
      <c r="C212" s="5" t="s">
        <v>704</v>
      </c>
      <c r="D212" s="5" t="s">
        <v>705</v>
      </c>
      <c r="E212" s="5" t="s">
        <v>706</v>
      </c>
      <c r="F212" s="5" t="s">
        <v>707</v>
      </c>
      <c r="G212" s="5" t="s">
        <v>708</v>
      </c>
      <c r="H212" s="5" t="s">
        <v>303</v>
      </c>
      <c r="I212" s="5" t="s">
        <v>709</v>
      </c>
      <c r="J212" s="5" t="s">
        <v>710</v>
      </c>
      <c r="K212" s="5"/>
      <c r="M212" s="5" t="s">
        <v>702</v>
      </c>
      <c r="N212" t="s">
        <v>703</v>
      </c>
      <c r="O212" s="5" t="s">
        <v>704</v>
      </c>
      <c r="P212" s="5" t="s">
        <v>705</v>
      </c>
      <c r="Q212" s="5" t="s">
        <v>706</v>
      </c>
      <c r="R212" s="5" t="s">
        <v>707</v>
      </c>
      <c r="S212" s="5" t="s">
        <v>708</v>
      </c>
      <c r="T212" s="5" t="s">
        <v>830</v>
      </c>
      <c r="U212" s="5" t="s">
        <v>709</v>
      </c>
      <c r="V212" s="5" t="s">
        <v>710</v>
      </c>
    </row>
    <row r="213" spans="1:22" ht="14.5" x14ac:dyDescent="0.35">
      <c r="A213" s="5"/>
      <c r="C213" s="5" t="s">
        <v>711</v>
      </c>
      <c r="D213" s="5" t="s">
        <v>712</v>
      </c>
      <c r="E213" s="5" t="s">
        <v>713</v>
      </c>
      <c r="F213" s="695">
        <v>47149</v>
      </c>
      <c r="G213" s="696"/>
      <c r="H213" s="5"/>
      <c r="I213" s="5"/>
      <c r="J213" s="695">
        <v>47514</v>
      </c>
      <c r="K213" s="695"/>
      <c r="M213" s="5"/>
      <c r="O213" s="5" t="s">
        <v>711</v>
      </c>
      <c r="P213" s="5" t="s">
        <v>712</v>
      </c>
      <c r="Q213" s="5" t="s">
        <v>713</v>
      </c>
      <c r="R213" s="695">
        <f>+V167</f>
        <v>0</v>
      </c>
      <c r="S213" s="696"/>
      <c r="T213" s="5"/>
      <c r="U213" s="5"/>
      <c r="V213" s="695">
        <v>47149</v>
      </c>
    </row>
    <row r="214" spans="1:22" ht="14.5" x14ac:dyDescent="0.35">
      <c r="A214" s="697"/>
      <c r="B214" s="698"/>
      <c r="C214" s="697" t="s">
        <v>714</v>
      </c>
      <c r="D214" s="697"/>
      <c r="E214" s="697"/>
      <c r="F214" s="697"/>
      <c r="G214" s="697"/>
      <c r="H214" s="697"/>
      <c r="I214" s="697"/>
      <c r="J214" s="697"/>
      <c r="K214" s="5"/>
      <c r="M214" s="697"/>
      <c r="N214" s="698"/>
      <c r="O214" s="697" t="s">
        <v>714</v>
      </c>
      <c r="P214" s="697"/>
      <c r="Q214" s="697"/>
      <c r="R214" s="697"/>
      <c r="S214" s="697"/>
      <c r="T214" s="697"/>
      <c r="U214" s="697"/>
      <c r="V214" s="697"/>
    </row>
    <row r="215" spans="1:22" ht="14.5" x14ac:dyDescent="0.35">
      <c r="A215" s="5"/>
      <c r="M215" s="5"/>
    </row>
    <row r="216" spans="1:22" ht="14.5" x14ac:dyDescent="0.35">
      <c r="A216" s="5">
        <v>1</v>
      </c>
      <c r="B216" t="s">
        <v>720</v>
      </c>
      <c r="C216" s="695">
        <v>45689</v>
      </c>
      <c r="D216" s="5">
        <f>+D$9</f>
        <v>5</v>
      </c>
      <c r="E216" s="701">
        <f>E168</f>
        <v>13700</v>
      </c>
      <c r="F216" s="701">
        <f>J168</f>
        <v>1370</v>
      </c>
      <c r="G216" s="701"/>
      <c r="H216" s="701">
        <f>F216</f>
        <v>1370</v>
      </c>
      <c r="I216" s="701"/>
      <c r="J216" s="783">
        <f>+F216+G216-H216-I216</f>
        <v>0</v>
      </c>
      <c r="K216" s="701"/>
      <c r="M216" s="5"/>
    </row>
    <row r="217" spans="1:22" ht="14.5" x14ac:dyDescent="0.35">
      <c r="A217" s="5"/>
      <c r="C217" s="695">
        <v>45931</v>
      </c>
      <c r="D217" s="5"/>
      <c r="E217" s="701"/>
      <c r="F217" s="701"/>
      <c r="G217" s="701"/>
      <c r="H217" s="701"/>
      <c r="I217" s="701"/>
      <c r="J217" s="701"/>
      <c r="K217" s="701"/>
      <c r="M217" s="5"/>
    </row>
    <row r="218" spans="1:22" ht="14.5" x14ac:dyDescent="0.35">
      <c r="A218" s="5"/>
      <c r="C218" s="695"/>
      <c r="D218" s="5"/>
      <c r="E218" s="701"/>
      <c r="F218" s="701"/>
      <c r="G218" s="701"/>
      <c r="H218" s="701"/>
      <c r="I218" s="701"/>
      <c r="J218" s="701"/>
      <c r="K218" s="701"/>
      <c r="M218" s="5"/>
    </row>
    <row r="219" spans="1:22" ht="14.5" x14ac:dyDescent="0.35">
      <c r="A219" s="710" t="s">
        <v>721</v>
      </c>
      <c r="B219" t="s">
        <v>720</v>
      </c>
      <c r="C219" s="695">
        <v>45809</v>
      </c>
      <c r="D219" s="5">
        <v>5</v>
      </c>
      <c r="E219" s="701">
        <f>E171</f>
        <v>69250</v>
      </c>
      <c r="F219" s="701">
        <f>J171</f>
        <v>20775</v>
      </c>
      <c r="G219" s="701"/>
      <c r="H219" s="701">
        <f>+E219/D219</f>
        <v>13850</v>
      </c>
      <c r="I219" s="701"/>
      <c r="J219" s="783">
        <f>+F219+G219-H219-I219</f>
        <v>6925</v>
      </c>
      <c r="K219" s="701"/>
      <c r="L219" s="783">
        <f>+J216+J219</f>
        <v>6925</v>
      </c>
      <c r="M219" s="5"/>
    </row>
    <row r="220" spans="1:22" ht="14.5" x14ac:dyDescent="0.35">
      <c r="A220" s="5"/>
      <c r="C220" s="695">
        <v>45931</v>
      </c>
      <c r="D220" s="5"/>
      <c r="E220" s="701"/>
      <c r="F220" s="701"/>
      <c r="G220" s="701"/>
      <c r="H220" s="701"/>
      <c r="I220" s="701"/>
      <c r="J220" s="701"/>
      <c r="K220" s="701"/>
      <c r="M220" s="5"/>
    </row>
    <row r="221" spans="1:22" ht="14.5" x14ac:dyDescent="0.35">
      <c r="A221" s="5"/>
      <c r="C221" s="695"/>
      <c r="D221" s="5"/>
      <c r="E221" s="701"/>
      <c r="F221" s="701"/>
      <c r="G221" s="701"/>
      <c r="H221" s="701"/>
      <c r="I221" s="701"/>
      <c r="J221" s="701"/>
      <c r="K221" s="701"/>
      <c r="M221" s="5"/>
    </row>
    <row r="222" spans="1:22" ht="14.5" x14ac:dyDescent="0.35">
      <c r="A222" s="5">
        <v>2</v>
      </c>
      <c r="B222" t="s">
        <v>716</v>
      </c>
      <c r="C222" s="695">
        <v>45597</v>
      </c>
      <c r="D222" s="5">
        <f>+D$12</f>
        <v>15</v>
      </c>
      <c r="E222" s="701">
        <f>+E$12</f>
        <v>35664.71</v>
      </c>
      <c r="F222" s="701">
        <f>J174</f>
        <v>27342.944333333333</v>
      </c>
      <c r="G222" s="701"/>
      <c r="H222" s="701">
        <f>+E222/D222</f>
        <v>2377.6473333333333</v>
      </c>
      <c r="I222" s="701"/>
      <c r="J222" s="711">
        <f>+F222+G222-H222-I222</f>
        <v>24965.296999999999</v>
      </c>
      <c r="K222" s="701"/>
      <c r="M222" s="5"/>
    </row>
    <row r="223" spans="1:22" ht="14.5" x14ac:dyDescent="0.35">
      <c r="A223" s="5"/>
      <c r="C223" s="695">
        <v>45931</v>
      </c>
      <c r="D223" s="5"/>
      <c r="E223" s="701"/>
      <c r="F223" s="701"/>
      <c r="G223" s="701"/>
      <c r="H223" s="701"/>
      <c r="I223" s="701"/>
      <c r="J223" s="701"/>
      <c r="K223" s="701"/>
      <c r="M223" s="5"/>
    </row>
    <row r="224" spans="1:22" ht="14.5" x14ac:dyDescent="0.35">
      <c r="A224" s="5"/>
      <c r="C224" s="695"/>
      <c r="D224" s="5"/>
      <c r="E224" s="701"/>
      <c r="F224" s="701"/>
      <c r="G224" s="701"/>
      <c r="H224" s="701"/>
      <c r="I224" s="701"/>
      <c r="J224" s="701"/>
      <c r="K224" s="701"/>
      <c r="M224" s="5"/>
    </row>
    <row r="225" spans="1:22" ht="14.5" x14ac:dyDescent="0.35">
      <c r="A225" s="710" t="s">
        <v>722</v>
      </c>
      <c r="B225" t="s">
        <v>716</v>
      </c>
      <c r="C225" s="695">
        <v>45717</v>
      </c>
      <c r="D225" s="5">
        <v>15</v>
      </c>
      <c r="E225" s="701">
        <f>E177</f>
        <v>938574.01</v>
      </c>
      <c r="F225" s="701">
        <f>J177</f>
        <v>719573.40766666678</v>
      </c>
      <c r="G225" s="701"/>
      <c r="H225" s="701">
        <f>E225/D225</f>
        <v>62571.600666666665</v>
      </c>
      <c r="I225" s="701"/>
      <c r="J225" s="711">
        <f>+F225+G225-H225-I225</f>
        <v>657001.80700000015</v>
      </c>
      <c r="K225" s="701"/>
      <c r="L225" s="711">
        <f>+J222+J225</f>
        <v>681967.10400000017</v>
      </c>
      <c r="M225" s="5"/>
    </row>
    <row r="226" spans="1:22" ht="14.5" x14ac:dyDescent="0.35">
      <c r="A226" s="5"/>
      <c r="C226" s="695">
        <v>45931</v>
      </c>
      <c r="D226" s="5"/>
      <c r="E226" s="701"/>
      <c r="F226" s="701"/>
      <c r="G226" s="701"/>
      <c r="H226" s="701"/>
      <c r="I226" s="701"/>
      <c r="J226" s="701"/>
      <c r="K226" s="701"/>
      <c r="M226" s="5"/>
    </row>
    <row r="227" spans="1:22" ht="14.5" x14ac:dyDescent="0.35">
      <c r="A227" s="5"/>
      <c r="C227" s="695"/>
      <c r="D227" s="5"/>
      <c r="E227" s="701"/>
      <c r="F227" s="701"/>
      <c r="G227" s="701"/>
      <c r="H227" s="701"/>
      <c r="I227" s="701"/>
      <c r="J227" s="701"/>
      <c r="K227" s="701"/>
      <c r="M227" s="5"/>
    </row>
    <row r="228" spans="1:22" ht="14.5" x14ac:dyDescent="0.35">
      <c r="A228" s="5">
        <v>3</v>
      </c>
      <c r="B228" t="s">
        <v>723</v>
      </c>
      <c r="C228" s="695">
        <v>45597</v>
      </c>
      <c r="D228" s="5">
        <f>+D$15</f>
        <v>10</v>
      </c>
      <c r="E228" s="701">
        <f>+E$15</f>
        <v>1810</v>
      </c>
      <c r="F228" s="701">
        <f>J180</f>
        <v>1004.55</v>
      </c>
      <c r="G228" s="701"/>
      <c r="H228" s="701">
        <f>+E228/D228</f>
        <v>181</v>
      </c>
      <c r="I228" s="701"/>
      <c r="J228" s="785">
        <f>+F228+G228-H228-I228</f>
        <v>823.55</v>
      </c>
      <c r="K228" s="701"/>
      <c r="M228" s="5"/>
    </row>
    <row r="229" spans="1:22" ht="14.5" x14ac:dyDescent="0.35">
      <c r="A229" s="5"/>
      <c r="C229" s="695">
        <v>45931</v>
      </c>
      <c r="D229" s="5"/>
      <c r="E229" s="701"/>
      <c r="F229" s="701"/>
      <c r="G229" s="701"/>
      <c r="H229" s="701"/>
      <c r="I229" s="701"/>
      <c r="J229" s="701"/>
      <c r="K229" s="701"/>
      <c r="M229" s="5"/>
    </row>
    <row r="230" spans="1:22" ht="14.5" x14ac:dyDescent="0.35">
      <c r="A230" s="5"/>
      <c r="C230" s="695"/>
      <c r="D230" s="5"/>
      <c r="E230" s="701"/>
      <c r="F230" s="701"/>
      <c r="G230" s="701"/>
      <c r="H230" s="701"/>
      <c r="I230" s="701"/>
      <c r="J230" s="701"/>
      <c r="K230" s="701"/>
      <c r="M230" s="5"/>
    </row>
    <row r="231" spans="1:22" ht="14.5" x14ac:dyDescent="0.35">
      <c r="A231" s="710" t="s">
        <v>724</v>
      </c>
      <c r="B231" t="s">
        <v>723</v>
      </c>
      <c r="C231" s="695">
        <v>45717</v>
      </c>
      <c r="D231" s="5">
        <v>10</v>
      </c>
      <c r="E231" s="701">
        <f>E183</f>
        <v>35750</v>
      </c>
      <c r="F231" s="701">
        <f>J183</f>
        <v>23237.5</v>
      </c>
      <c r="G231" s="701"/>
      <c r="H231" s="701">
        <f>+E231/D231</f>
        <v>3575</v>
      </c>
      <c r="I231" s="701"/>
      <c r="J231" s="785">
        <f>+F231+G231-H231-I231</f>
        <v>19662.5</v>
      </c>
      <c r="K231" s="701"/>
      <c r="M231" s="5"/>
    </row>
    <row r="232" spans="1:22" ht="14.5" x14ac:dyDescent="0.35">
      <c r="A232" s="5"/>
      <c r="C232" s="695">
        <v>45931</v>
      </c>
      <c r="D232" s="5"/>
      <c r="E232" s="701"/>
      <c r="F232" s="701"/>
      <c r="G232" s="701"/>
      <c r="H232" s="701"/>
      <c r="I232" s="701"/>
      <c r="J232" s="701"/>
      <c r="K232" s="701"/>
      <c r="M232" s="5"/>
    </row>
    <row r="233" spans="1:22" ht="14.5" x14ac:dyDescent="0.35">
      <c r="A233" s="5"/>
      <c r="C233" s="695"/>
      <c r="D233" s="5"/>
      <c r="E233" s="701"/>
      <c r="F233" s="701"/>
      <c r="G233" s="701"/>
      <c r="H233" s="701"/>
      <c r="I233" s="701"/>
      <c r="J233" s="701"/>
      <c r="K233" s="701"/>
      <c r="M233" s="5"/>
    </row>
    <row r="234" spans="1:22" ht="14.5" x14ac:dyDescent="0.35">
      <c r="A234" s="779" t="s">
        <v>824</v>
      </c>
      <c r="B234" t="s">
        <v>723</v>
      </c>
      <c r="C234" s="695">
        <v>46082</v>
      </c>
      <c r="D234" s="5">
        <v>10</v>
      </c>
      <c r="E234" s="701">
        <f>E186</f>
        <v>5076.666666666667</v>
      </c>
      <c r="F234" s="701">
        <f>J186</f>
        <v>3553.666666666667</v>
      </c>
      <c r="G234" s="701"/>
      <c r="H234" s="701">
        <v>507.66666666666669</v>
      </c>
      <c r="I234" s="701"/>
      <c r="J234" s="785">
        <f>+F234-H234</f>
        <v>3046.0000000000005</v>
      </c>
      <c r="K234" s="701"/>
      <c r="L234" s="785">
        <f>+J228+J231+J234</f>
        <v>23532.05</v>
      </c>
      <c r="M234" s="5"/>
    </row>
    <row r="235" spans="1:22" ht="14.5" x14ac:dyDescent="0.35">
      <c r="A235" s="5"/>
      <c r="C235" s="695">
        <v>46082</v>
      </c>
      <c r="D235" s="5"/>
      <c r="E235" s="701"/>
      <c r="F235" s="701"/>
      <c r="G235" s="701"/>
      <c r="H235" s="701"/>
      <c r="I235" s="701"/>
      <c r="J235" s="701"/>
      <c r="K235" s="701"/>
      <c r="M235" s="5"/>
      <c r="O235" s="695"/>
      <c r="P235" s="5"/>
      <c r="Q235" s="701"/>
      <c r="R235" s="701"/>
      <c r="S235" s="701"/>
      <c r="T235" s="701"/>
      <c r="U235" s="701"/>
      <c r="V235" s="701"/>
    </row>
    <row r="236" spans="1:22" ht="14.5" x14ac:dyDescent="0.35">
      <c r="A236" s="5"/>
      <c r="C236" s="695"/>
      <c r="D236" s="5"/>
      <c r="E236" s="701"/>
      <c r="F236" s="701"/>
      <c r="G236" s="701"/>
      <c r="H236" s="701"/>
      <c r="I236" s="701"/>
      <c r="J236" s="701"/>
      <c r="K236" s="701"/>
      <c r="M236" s="5"/>
      <c r="O236" s="695"/>
      <c r="P236" s="5"/>
      <c r="Q236" s="701"/>
      <c r="R236" s="701"/>
      <c r="S236" s="701"/>
      <c r="T236" s="701"/>
      <c r="U236" s="701"/>
      <c r="V236" s="701"/>
    </row>
    <row r="237" spans="1:22" ht="14.5" x14ac:dyDescent="0.35">
      <c r="A237" s="5"/>
      <c r="C237" s="695"/>
      <c r="D237" s="5"/>
      <c r="E237" s="701"/>
      <c r="F237" s="701"/>
      <c r="G237" s="701"/>
      <c r="H237" s="701"/>
      <c r="I237" s="701"/>
      <c r="J237" s="701"/>
      <c r="K237" s="701"/>
      <c r="M237" s="5">
        <v>4</v>
      </c>
      <c r="N237" t="s">
        <v>718</v>
      </c>
      <c r="O237" s="695">
        <v>45597</v>
      </c>
      <c r="P237" s="5">
        <f>+P$18</f>
        <v>5</v>
      </c>
      <c r="Q237" s="701">
        <f>Q189</f>
        <v>13150</v>
      </c>
      <c r="R237" s="701">
        <f>V189</f>
        <v>1315</v>
      </c>
      <c r="S237" s="701"/>
      <c r="T237" s="701">
        <f>R237</f>
        <v>1315</v>
      </c>
      <c r="U237" s="701"/>
      <c r="V237" s="712">
        <f>+R237+S237-T237-U237</f>
        <v>0</v>
      </c>
    </row>
    <row r="238" spans="1:22" ht="14.5" x14ac:dyDescent="0.35">
      <c r="A238" s="5"/>
      <c r="C238" s="695"/>
      <c r="D238" s="5"/>
      <c r="E238" s="701"/>
      <c r="F238" s="701"/>
      <c r="G238" s="701"/>
      <c r="H238" s="701"/>
      <c r="I238" s="701"/>
      <c r="J238" s="701"/>
      <c r="K238" s="701"/>
      <c r="M238" s="5"/>
      <c r="O238" s="695">
        <v>45931</v>
      </c>
      <c r="P238" s="5"/>
      <c r="Q238" s="701"/>
      <c r="R238" s="701"/>
      <c r="S238" s="701"/>
      <c r="T238" s="701"/>
      <c r="U238" s="701"/>
      <c r="V238" s="701"/>
    </row>
    <row r="239" spans="1:22" ht="14.5" x14ac:dyDescent="0.35">
      <c r="A239" s="5"/>
      <c r="C239" s="695"/>
      <c r="D239" s="5"/>
      <c r="E239" s="701"/>
      <c r="F239" s="701"/>
      <c r="G239" s="701"/>
      <c r="H239" s="701"/>
      <c r="I239" s="701"/>
      <c r="J239" s="701"/>
      <c r="K239" s="701"/>
      <c r="M239" s="5"/>
      <c r="O239" s="695"/>
      <c r="P239" s="5"/>
      <c r="Q239" s="701"/>
      <c r="R239" s="701"/>
      <c r="S239" s="701"/>
      <c r="T239" s="701"/>
      <c r="U239" s="701"/>
      <c r="V239" s="701"/>
    </row>
    <row r="240" spans="1:22" ht="14.5" x14ac:dyDescent="0.35">
      <c r="A240" s="5"/>
      <c r="C240" s="695"/>
      <c r="D240" s="5"/>
      <c r="E240" s="701"/>
      <c r="F240" s="701"/>
      <c r="G240" s="701"/>
      <c r="H240" s="701"/>
      <c r="I240" s="701"/>
      <c r="J240" s="701"/>
      <c r="K240" s="701"/>
      <c r="M240" s="710" t="s">
        <v>725</v>
      </c>
      <c r="N240" t="s">
        <v>718</v>
      </c>
      <c r="O240" s="695">
        <v>45778</v>
      </c>
      <c r="P240" s="5">
        <v>15</v>
      </c>
      <c r="Q240" s="701">
        <f>Q192</f>
        <v>133275</v>
      </c>
      <c r="R240" s="701">
        <f>V192</f>
        <v>97735</v>
      </c>
      <c r="S240" s="705">
        <f>-Foerdergn!AT198</f>
        <v>0</v>
      </c>
      <c r="T240" s="701">
        <f>+Q240/P240</f>
        <v>8885</v>
      </c>
      <c r="U240" s="701"/>
      <c r="V240" s="712">
        <f>+R240+S240-T240-U240</f>
        <v>88850</v>
      </c>
    </row>
    <row r="241" spans="1:22" ht="14.5" x14ac:dyDescent="0.35">
      <c r="A241" s="5"/>
      <c r="C241" s="695"/>
      <c r="D241" s="5"/>
      <c r="E241" s="701"/>
      <c r="F241" s="701"/>
      <c r="G241" s="701"/>
      <c r="H241" s="701"/>
      <c r="I241" s="701"/>
      <c r="J241" s="701"/>
      <c r="K241" s="701"/>
      <c r="M241" s="5"/>
      <c r="O241" s="695">
        <v>45931</v>
      </c>
      <c r="P241" s="5"/>
      <c r="Q241" s="701"/>
      <c r="R241" s="701"/>
      <c r="S241" s="705"/>
      <c r="T241" s="701"/>
      <c r="U241" s="701"/>
      <c r="V241" s="701"/>
    </row>
    <row r="242" spans="1:22" ht="14.5" x14ac:dyDescent="0.35">
      <c r="A242" s="5"/>
      <c r="C242" s="695"/>
      <c r="D242" s="5"/>
      <c r="E242" s="701"/>
      <c r="F242" s="701"/>
      <c r="G242" s="701"/>
      <c r="H242" s="701"/>
      <c r="I242" s="701"/>
      <c r="J242" s="701"/>
      <c r="K242" s="701"/>
      <c r="M242" s="5"/>
      <c r="O242" s="696"/>
      <c r="P242" s="5"/>
      <c r="Q242" s="701"/>
      <c r="R242" s="701"/>
      <c r="S242" s="701"/>
      <c r="T242" s="701"/>
      <c r="U242" s="701"/>
      <c r="V242" s="701"/>
    </row>
    <row r="243" spans="1:22" ht="14.5" x14ac:dyDescent="0.35">
      <c r="A243" s="5"/>
      <c r="C243" s="695"/>
      <c r="D243" s="5"/>
      <c r="E243" s="701"/>
      <c r="F243" s="701"/>
      <c r="G243" s="701"/>
      <c r="H243" s="701"/>
      <c r="I243" s="701"/>
      <c r="J243" s="701"/>
      <c r="K243" s="701"/>
      <c r="M243" s="710" t="s">
        <v>727</v>
      </c>
      <c r="N243" t="s">
        <v>847</v>
      </c>
      <c r="O243" s="695">
        <v>45778</v>
      </c>
      <c r="P243" s="5">
        <v>5</v>
      </c>
      <c r="Q243" s="701">
        <f>Q195</f>
        <v>20500</v>
      </c>
      <c r="R243" s="701">
        <f>V195</f>
        <v>4100</v>
      </c>
      <c r="S243" s="705">
        <f>-Foerdergn!BH161</f>
        <v>0</v>
      </c>
      <c r="T243" s="701">
        <f>+Q243/P243</f>
        <v>4100</v>
      </c>
      <c r="U243" s="701"/>
      <c r="V243" s="712">
        <f>+R243+S243-T243-U243</f>
        <v>0</v>
      </c>
    </row>
    <row r="244" spans="1:22" ht="14.5" x14ac:dyDescent="0.35">
      <c r="A244" s="5"/>
      <c r="C244" s="695"/>
      <c r="D244" s="5"/>
      <c r="E244" s="701"/>
      <c r="F244" s="701"/>
      <c r="G244" s="701"/>
      <c r="H244" s="701"/>
      <c r="I244" s="701"/>
      <c r="J244" s="701"/>
      <c r="K244" s="701"/>
      <c r="M244" s="5"/>
      <c r="O244" s="695">
        <v>45931</v>
      </c>
      <c r="P244" s="5"/>
      <c r="Q244" s="701"/>
      <c r="R244" s="701"/>
      <c r="S244" s="705"/>
      <c r="T244" s="701"/>
      <c r="U244" s="701"/>
      <c r="V244" s="701"/>
    </row>
    <row r="245" spans="1:22" ht="14.5" x14ac:dyDescent="0.35">
      <c r="A245" s="5"/>
      <c r="C245" s="695"/>
      <c r="D245" s="5"/>
      <c r="E245" s="701"/>
      <c r="F245" s="701"/>
      <c r="G245" s="701"/>
      <c r="H245" s="701"/>
      <c r="I245" s="701"/>
      <c r="J245" s="701"/>
      <c r="K245" s="701"/>
      <c r="M245" s="5"/>
      <c r="O245" s="695"/>
      <c r="P245" s="5"/>
      <c r="Q245" s="701"/>
      <c r="R245" s="701"/>
      <c r="S245" s="705"/>
      <c r="T245" s="701"/>
      <c r="U245" s="701"/>
      <c r="V245" s="701"/>
    </row>
    <row r="246" spans="1:22" ht="14.5" x14ac:dyDescent="0.35">
      <c r="A246" s="5"/>
      <c r="C246" s="695"/>
      <c r="D246" s="5"/>
      <c r="E246" s="701"/>
      <c r="F246" s="701"/>
      <c r="G246" s="701"/>
      <c r="H246" s="701"/>
      <c r="I246" s="701"/>
      <c r="J246" s="701"/>
      <c r="K246" s="701"/>
      <c r="M246" s="710" t="s">
        <v>727</v>
      </c>
      <c r="N246" t="s">
        <v>851</v>
      </c>
      <c r="O246" s="695">
        <v>46143</v>
      </c>
      <c r="P246" s="5">
        <v>15</v>
      </c>
      <c r="Q246" s="701">
        <f>Q198</f>
        <v>15000</v>
      </c>
      <c r="R246" s="701">
        <f>V198</f>
        <v>12000</v>
      </c>
      <c r="S246" s="705">
        <f>Foerdergn!E152</f>
        <v>0</v>
      </c>
      <c r="T246" s="701">
        <f>Q246/P246</f>
        <v>1000</v>
      </c>
      <c r="U246" s="701"/>
      <c r="V246" s="712">
        <f t="shared" ref="V246" si="8">+R246+S246-T246-U246</f>
        <v>11000</v>
      </c>
    </row>
    <row r="247" spans="1:22" ht="14.5" x14ac:dyDescent="0.35">
      <c r="A247" s="5"/>
      <c r="C247" s="696"/>
      <c r="D247" s="5"/>
      <c r="E247" s="701"/>
      <c r="F247" s="701"/>
      <c r="G247" s="701"/>
      <c r="H247" s="701"/>
      <c r="I247" s="701"/>
      <c r="J247" s="701"/>
      <c r="K247" s="701"/>
      <c r="M247" s="5"/>
      <c r="O247" s="695">
        <v>46143</v>
      </c>
      <c r="P247" s="5"/>
      <c r="Q247" s="701"/>
      <c r="R247" s="701"/>
      <c r="S247" s="705"/>
      <c r="T247" s="701"/>
      <c r="U247" s="701"/>
      <c r="V247" s="701"/>
    </row>
    <row r="248" spans="1:22" ht="14.5" x14ac:dyDescent="0.35">
      <c r="A248" s="697"/>
      <c r="B248" s="698"/>
      <c r="C248" s="698"/>
      <c r="D248" s="698"/>
      <c r="E248" s="698"/>
      <c r="F248" s="703"/>
      <c r="G248" s="703"/>
      <c r="H248" s="704"/>
      <c r="I248" s="704"/>
      <c r="J248" s="704"/>
      <c r="K248" s="701"/>
      <c r="M248" s="697"/>
      <c r="N248" s="698"/>
      <c r="O248" s="698"/>
      <c r="P248" s="698"/>
      <c r="Q248" s="698"/>
      <c r="R248" s="703"/>
      <c r="S248" s="703"/>
      <c r="T248" s="704"/>
      <c r="U248" s="704"/>
      <c r="V248" s="704"/>
    </row>
    <row r="249" spans="1:22" ht="14.5" x14ac:dyDescent="0.35">
      <c r="A249" s="5"/>
      <c r="F249" s="705"/>
      <c r="G249" s="705"/>
      <c r="H249" s="701"/>
      <c r="I249" s="701"/>
      <c r="J249" s="701"/>
      <c r="K249" s="701"/>
      <c r="M249" s="5"/>
      <c r="R249" s="705"/>
      <c r="S249" s="705"/>
      <c r="T249" s="701"/>
      <c r="U249" s="701"/>
      <c r="V249" s="701"/>
    </row>
    <row r="250" spans="1:22" ht="14.5" x14ac:dyDescent="0.35">
      <c r="A250" s="5"/>
      <c r="E250" s="701">
        <f t="shared" ref="E250:J250" si="9">SUM(E216:E247)</f>
        <v>1099825.3866666667</v>
      </c>
      <c r="F250" s="701">
        <f t="shared" si="9"/>
        <v>796857.06866666675</v>
      </c>
      <c r="G250" s="701">
        <f t="shared" si="9"/>
        <v>0</v>
      </c>
      <c r="H250" s="713">
        <f t="shared" si="9"/>
        <v>84432.914666666664</v>
      </c>
      <c r="I250" s="701">
        <f t="shared" si="9"/>
        <v>0</v>
      </c>
      <c r="J250" s="713">
        <f t="shared" si="9"/>
        <v>712424.15400000021</v>
      </c>
      <c r="K250" s="713"/>
      <c r="M250" s="5"/>
      <c r="Q250" s="701">
        <f t="shared" ref="Q250:S250" si="10">SUM(Q216:Q247)</f>
        <v>181925</v>
      </c>
      <c r="R250" s="701">
        <f t="shared" si="10"/>
        <v>115150</v>
      </c>
      <c r="S250" s="701">
        <f t="shared" si="10"/>
        <v>0</v>
      </c>
      <c r="T250" s="713">
        <f>SUM(T216:T247)</f>
        <v>15300</v>
      </c>
      <c r="U250" s="701">
        <f t="shared" ref="U250" si="11">SUM(U216:U247)</f>
        <v>0</v>
      </c>
      <c r="V250" s="713">
        <f>SUM(V216:V247)</f>
        <v>99850</v>
      </c>
    </row>
    <row r="251" spans="1:22" ht="15" thickBot="1" x14ac:dyDescent="0.4">
      <c r="A251" s="706"/>
      <c r="B251" s="707"/>
      <c r="C251" s="707"/>
      <c r="D251" s="707"/>
      <c r="E251" s="707"/>
      <c r="F251" s="708"/>
      <c r="G251" s="708"/>
      <c r="H251" s="709"/>
      <c r="I251" s="709"/>
      <c r="J251" s="709"/>
      <c r="K251" s="701"/>
      <c r="M251" s="706"/>
      <c r="N251" s="707"/>
      <c r="O251" s="707"/>
      <c r="P251" s="707"/>
      <c r="Q251" s="707"/>
      <c r="R251" s="708"/>
      <c r="S251" s="708"/>
      <c r="T251" s="709"/>
      <c r="U251" s="709"/>
      <c r="V251" s="709"/>
    </row>
    <row r="252" spans="1:22" ht="14.25" customHeight="1" thickTop="1" x14ac:dyDescent="0.35"/>
    <row r="257" spans="1:22" ht="21" x14ac:dyDescent="0.5">
      <c r="A257" s="694" t="s">
        <v>843</v>
      </c>
      <c r="M257" s="694" t="s">
        <v>845</v>
      </c>
    </row>
    <row r="260" spans="1:22" ht="14.5" x14ac:dyDescent="0.35">
      <c r="A260" s="5" t="s">
        <v>702</v>
      </c>
      <c r="B260" t="s">
        <v>703</v>
      </c>
      <c r="C260" s="5" t="s">
        <v>704</v>
      </c>
      <c r="D260" s="5" t="s">
        <v>705</v>
      </c>
      <c r="E260" s="5" t="s">
        <v>706</v>
      </c>
      <c r="F260" s="5" t="s">
        <v>707</v>
      </c>
      <c r="G260" s="5" t="s">
        <v>708</v>
      </c>
      <c r="H260" s="5" t="s">
        <v>303</v>
      </c>
      <c r="I260" s="5" t="s">
        <v>709</v>
      </c>
      <c r="J260" s="5" t="s">
        <v>710</v>
      </c>
      <c r="K260" s="5"/>
      <c r="M260" s="5" t="s">
        <v>702</v>
      </c>
      <c r="N260" t="s">
        <v>703</v>
      </c>
      <c r="O260" s="5" t="s">
        <v>704</v>
      </c>
      <c r="P260" s="5" t="s">
        <v>705</v>
      </c>
      <c r="Q260" s="5" t="s">
        <v>706</v>
      </c>
      <c r="R260" s="5" t="s">
        <v>707</v>
      </c>
      <c r="S260" s="5" t="s">
        <v>708</v>
      </c>
      <c r="T260" s="5" t="s">
        <v>830</v>
      </c>
      <c r="U260" s="5" t="s">
        <v>709</v>
      </c>
      <c r="V260" s="5" t="s">
        <v>710</v>
      </c>
    </row>
    <row r="261" spans="1:22" ht="14.5" x14ac:dyDescent="0.35">
      <c r="A261" s="5"/>
      <c r="C261" s="5" t="s">
        <v>711</v>
      </c>
      <c r="D261" s="5" t="s">
        <v>712</v>
      </c>
      <c r="E261" s="5" t="s">
        <v>713</v>
      </c>
      <c r="F261" s="695">
        <v>47514</v>
      </c>
      <c r="G261" s="696"/>
      <c r="H261" s="5"/>
      <c r="I261" s="5"/>
      <c r="J261" s="695">
        <v>47879</v>
      </c>
      <c r="K261" s="695"/>
      <c r="M261" s="5"/>
      <c r="O261" s="5" t="s">
        <v>711</v>
      </c>
      <c r="P261" s="5" t="s">
        <v>712</v>
      </c>
      <c r="Q261" s="5" t="s">
        <v>713</v>
      </c>
      <c r="R261" s="695">
        <f>+V215</f>
        <v>0</v>
      </c>
      <c r="S261" s="696"/>
      <c r="T261" s="5"/>
      <c r="U261" s="5"/>
      <c r="V261" s="695">
        <v>47149</v>
      </c>
    </row>
    <row r="262" spans="1:22" ht="14.5" x14ac:dyDescent="0.35">
      <c r="A262" s="697"/>
      <c r="B262" s="698"/>
      <c r="C262" s="697" t="s">
        <v>714</v>
      </c>
      <c r="D262" s="697"/>
      <c r="E262" s="697"/>
      <c r="F262" s="697"/>
      <c r="G262" s="697"/>
      <c r="H262" s="697"/>
      <c r="I262" s="697"/>
      <c r="J262" s="697"/>
      <c r="K262" s="5"/>
      <c r="M262" s="697"/>
      <c r="N262" s="698"/>
      <c r="O262" s="697" t="s">
        <v>714</v>
      </c>
      <c r="P262" s="697"/>
      <c r="Q262" s="697"/>
      <c r="R262" s="697"/>
      <c r="S262" s="697"/>
      <c r="T262" s="697"/>
      <c r="U262" s="697"/>
      <c r="V262" s="697"/>
    </row>
    <row r="263" spans="1:22" ht="14.5" x14ac:dyDescent="0.35">
      <c r="A263" s="5"/>
      <c r="M263" s="5"/>
    </row>
    <row r="264" spans="1:22" ht="14.5" x14ac:dyDescent="0.35">
      <c r="A264" s="5">
        <v>1</v>
      </c>
      <c r="B264" t="s">
        <v>720</v>
      </c>
      <c r="C264" s="695">
        <v>45689</v>
      </c>
      <c r="D264" s="5">
        <f>+D$9</f>
        <v>5</v>
      </c>
      <c r="E264" s="701">
        <f>E216</f>
        <v>13700</v>
      </c>
      <c r="F264" s="701">
        <f>J216</f>
        <v>0</v>
      </c>
      <c r="G264" s="701"/>
      <c r="H264" s="701">
        <f>F264</f>
        <v>0</v>
      </c>
      <c r="I264" s="701"/>
      <c r="J264" s="783">
        <f>+F264+G264-H264-I264</f>
        <v>0</v>
      </c>
      <c r="K264" s="701"/>
      <c r="M264" s="5"/>
    </row>
    <row r="265" spans="1:22" ht="14.5" x14ac:dyDescent="0.35">
      <c r="A265" s="5"/>
      <c r="C265" s="695">
        <v>45931</v>
      </c>
      <c r="D265" s="5"/>
      <c r="E265" s="701"/>
      <c r="F265" s="701"/>
      <c r="G265" s="701"/>
      <c r="H265" s="701"/>
      <c r="I265" s="701"/>
      <c r="J265" s="701"/>
      <c r="K265" s="701"/>
      <c r="M265" s="5"/>
    </row>
    <row r="266" spans="1:22" ht="14.5" x14ac:dyDescent="0.35">
      <c r="A266" s="5"/>
      <c r="C266" s="695"/>
      <c r="D266" s="5"/>
      <c r="E266" s="701"/>
      <c r="F266" s="701"/>
      <c r="G266" s="701"/>
      <c r="H266" s="701"/>
      <c r="I266" s="701"/>
      <c r="J266" s="701"/>
      <c r="K266" s="701"/>
      <c r="M266" s="5"/>
    </row>
    <row r="267" spans="1:22" ht="14.5" x14ac:dyDescent="0.35">
      <c r="A267" s="710" t="s">
        <v>721</v>
      </c>
      <c r="B267" t="s">
        <v>720</v>
      </c>
      <c r="C267" s="695">
        <v>45809</v>
      </c>
      <c r="D267" s="5">
        <v>5</v>
      </c>
      <c r="E267" s="701">
        <f>E219</f>
        <v>69250</v>
      </c>
      <c r="F267" s="701">
        <f>J219</f>
        <v>6925</v>
      </c>
      <c r="G267" s="701"/>
      <c r="H267" s="701">
        <f>F267</f>
        <v>6925</v>
      </c>
      <c r="I267" s="701"/>
      <c r="J267" s="783">
        <f>+F267+G267-H267-I267</f>
        <v>0</v>
      </c>
      <c r="K267" s="701"/>
      <c r="L267" s="783">
        <f>+J264+J267</f>
        <v>0</v>
      </c>
      <c r="M267" s="5"/>
    </row>
    <row r="268" spans="1:22" ht="14.5" x14ac:dyDescent="0.35">
      <c r="A268" s="5"/>
      <c r="C268" s="695">
        <v>45931</v>
      </c>
      <c r="D268" s="5"/>
      <c r="E268" s="701"/>
      <c r="F268" s="701"/>
      <c r="G268" s="701"/>
      <c r="H268" s="701"/>
      <c r="I268" s="701"/>
      <c r="J268" s="701"/>
      <c r="K268" s="701"/>
      <c r="M268" s="5"/>
    </row>
    <row r="269" spans="1:22" ht="14.5" x14ac:dyDescent="0.35">
      <c r="A269" s="5"/>
      <c r="C269" s="695"/>
      <c r="D269" s="5"/>
      <c r="E269" s="701"/>
      <c r="F269" s="701"/>
      <c r="G269" s="701"/>
      <c r="H269" s="701"/>
      <c r="I269" s="701"/>
      <c r="J269" s="701"/>
      <c r="K269" s="701"/>
      <c r="M269" s="5"/>
    </row>
    <row r="270" spans="1:22" ht="14.5" x14ac:dyDescent="0.35">
      <c r="A270" s="5">
        <v>2</v>
      </c>
      <c r="B270" t="s">
        <v>716</v>
      </c>
      <c r="C270" s="695">
        <v>45597</v>
      </c>
      <c r="D270" s="5">
        <f>+D$12</f>
        <v>15</v>
      </c>
      <c r="E270" s="701">
        <f>+E$12</f>
        <v>35664.71</v>
      </c>
      <c r="F270" s="701">
        <f>J222</f>
        <v>24965.296999999999</v>
      </c>
      <c r="G270" s="701"/>
      <c r="H270" s="701">
        <f>+E270/D270</f>
        <v>2377.6473333333333</v>
      </c>
      <c r="I270" s="701"/>
      <c r="J270" s="711">
        <f>+F270+G270-H270-I270</f>
        <v>22587.649666666664</v>
      </c>
      <c r="K270" s="701"/>
      <c r="M270" s="5"/>
    </row>
    <row r="271" spans="1:22" ht="14.5" x14ac:dyDescent="0.35">
      <c r="A271" s="5"/>
      <c r="C271" s="695">
        <v>45931</v>
      </c>
      <c r="D271" s="5"/>
      <c r="E271" s="701"/>
      <c r="F271" s="701"/>
      <c r="G271" s="701"/>
      <c r="H271" s="701"/>
      <c r="I271" s="701"/>
      <c r="J271" s="701"/>
      <c r="K271" s="701"/>
      <c r="M271" s="5"/>
    </row>
    <row r="272" spans="1:22" ht="14.5" x14ac:dyDescent="0.35">
      <c r="A272" s="5"/>
      <c r="C272" s="695"/>
      <c r="D272" s="5"/>
      <c r="E272" s="701"/>
      <c r="F272" s="701"/>
      <c r="G272" s="701"/>
      <c r="H272" s="701"/>
      <c r="I272" s="701"/>
      <c r="J272" s="701"/>
      <c r="K272" s="701"/>
      <c r="M272" s="5"/>
    </row>
    <row r="273" spans="1:22" ht="14.5" x14ac:dyDescent="0.35">
      <c r="A273" s="710" t="s">
        <v>722</v>
      </c>
      <c r="B273" t="s">
        <v>716</v>
      </c>
      <c r="C273" s="695">
        <v>45717</v>
      </c>
      <c r="D273" s="5">
        <v>15</v>
      </c>
      <c r="E273" s="701">
        <f>E225</f>
        <v>938574.01</v>
      </c>
      <c r="F273" s="701">
        <f>J225</f>
        <v>657001.80700000015</v>
      </c>
      <c r="G273" s="701"/>
      <c r="H273" s="701">
        <f>+E273/D273</f>
        <v>62571.600666666665</v>
      </c>
      <c r="I273" s="701"/>
      <c r="J273" s="711">
        <f>+F273+G273-H273-I273</f>
        <v>594430.20633333351</v>
      </c>
      <c r="K273" s="701"/>
      <c r="L273" s="711">
        <f>+J270+J273</f>
        <v>617017.85600000015</v>
      </c>
      <c r="M273" s="5"/>
    </row>
    <row r="274" spans="1:22" ht="14.5" x14ac:dyDescent="0.35">
      <c r="A274" s="5"/>
      <c r="C274" s="695">
        <v>45931</v>
      </c>
      <c r="D274" s="5"/>
      <c r="E274" s="701"/>
      <c r="F274" s="701"/>
      <c r="G274" s="701"/>
      <c r="H274" s="701"/>
      <c r="I274" s="701"/>
      <c r="J274" s="701"/>
      <c r="K274" s="701"/>
      <c r="M274" s="5"/>
    </row>
    <row r="275" spans="1:22" ht="14.5" x14ac:dyDescent="0.35">
      <c r="A275" s="5"/>
      <c r="C275" s="695"/>
      <c r="D275" s="5"/>
      <c r="E275" s="701"/>
      <c r="F275" s="701"/>
      <c r="G275" s="701"/>
      <c r="H275" s="701"/>
      <c r="I275" s="701"/>
      <c r="J275" s="701"/>
      <c r="K275" s="701"/>
      <c r="M275" s="5"/>
    </row>
    <row r="276" spans="1:22" ht="14.5" x14ac:dyDescent="0.35">
      <c r="A276" s="5">
        <v>3</v>
      </c>
      <c r="B276" t="s">
        <v>723</v>
      </c>
      <c r="C276" s="695">
        <v>45597</v>
      </c>
      <c r="D276" s="5">
        <f>+D$15</f>
        <v>10</v>
      </c>
      <c r="E276" s="701">
        <f>+E$15</f>
        <v>1810</v>
      </c>
      <c r="F276" s="701">
        <f>J228</f>
        <v>823.55</v>
      </c>
      <c r="G276" s="701"/>
      <c r="H276" s="701">
        <f>+E276/D276</f>
        <v>181</v>
      </c>
      <c r="I276" s="701"/>
      <c r="J276" s="785">
        <f>+F276+G276-H276-I276</f>
        <v>642.54999999999995</v>
      </c>
      <c r="K276" s="701"/>
      <c r="M276" s="5"/>
    </row>
    <row r="277" spans="1:22" ht="14.5" x14ac:dyDescent="0.35">
      <c r="A277" s="5"/>
      <c r="C277" s="695">
        <v>45931</v>
      </c>
      <c r="D277" s="5"/>
      <c r="E277" s="701"/>
      <c r="F277" s="701"/>
      <c r="G277" s="701"/>
      <c r="H277" s="701"/>
      <c r="I277" s="701"/>
      <c r="J277" s="701"/>
      <c r="K277" s="701"/>
      <c r="M277" s="5"/>
    </row>
    <row r="278" spans="1:22" ht="14.5" x14ac:dyDescent="0.35">
      <c r="A278" s="5"/>
      <c r="C278" s="695"/>
      <c r="D278" s="5"/>
      <c r="E278" s="701"/>
      <c r="F278" s="701"/>
      <c r="G278" s="701"/>
      <c r="H278" s="701"/>
      <c r="I278" s="701"/>
      <c r="J278" s="701"/>
      <c r="K278" s="701"/>
      <c r="M278" s="5"/>
    </row>
    <row r="279" spans="1:22" ht="14.5" x14ac:dyDescent="0.35">
      <c r="A279" s="710" t="s">
        <v>724</v>
      </c>
      <c r="B279" t="s">
        <v>723</v>
      </c>
      <c r="C279" s="695">
        <v>45717</v>
      </c>
      <c r="D279" s="5">
        <v>10</v>
      </c>
      <c r="E279" s="701">
        <f>E231</f>
        <v>35750</v>
      </c>
      <c r="F279" s="701">
        <f>J231</f>
        <v>19662.5</v>
      </c>
      <c r="G279" s="701"/>
      <c r="H279" s="701">
        <f>+E279/D279</f>
        <v>3575</v>
      </c>
      <c r="I279" s="701"/>
      <c r="J279" s="785">
        <f>+F279+G279-H279-I279</f>
        <v>16087.5</v>
      </c>
      <c r="K279" s="701"/>
      <c r="M279" s="5"/>
    </row>
    <row r="280" spans="1:22" ht="14.5" x14ac:dyDescent="0.35">
      <c r="A280" s="5"/>
      <c r="C280" s="695">
        <v>45931</v>
      </c>
      <c r="D280" s="5"/>
      <c r="E280" s="701"/>
      <c r="F280" s="701"/>
      <c r="G280" s="701"/>
      <c r="H280" s="701"/>
      <c r="I280" s="701"/>
      <c r="J280" s="701"/>
      <c r="K280" s="701"/>
      <c r="M280" s="5"/>
    </row>
    <row r="281" spans="1:22" ht="14.5" x14ac:dyDescent="0.35">
      <c r="A281" s="5"/>
      <c r="C281" s="695"/>
      <c r="D281" s="5"/>
      <c r="E281" s="701"/>
      <c r="F281" s="701"/>
      <c r="G281" s="701"/>
      <c r="H281" s="701"/>
      <c r="I281" s="701"/>
      <c r="J281" s="701"/>
      <c r="K281" s="701"/>
      <c r="M281" s="5"/>
    </row>
    <row r="282" spans="1:22" ht="14.5" x14ac:dyDescent="0.35">
      <c r="A282" s="779" t="s">
        <v>824</v>
      </c>
      <c r="B282" t="s">
        <v>723</v>
      </c>
      <c r="C282" s="695">
        <v>46082</v>
      </c>
      <c r="D282" s="5">
        <v>10</v>
      </c>
      <c r="E282" s="701">
        <f>E234</f>
        <v>5076.666666666667</v>
      </c>
      <c r="F282" s="701">
        <f>J234</f>
        <v>3046.0000000000005</v>
      </c>
      <c r="G282" s="701"/>
      <c r="H282" s="701">
        <v>507.66666666666669</v>
      </c>
      <c r="I282" s="701"/>
      <c r="J282" s="785">
        <f>+F282-H282</f>
        <v>2538.3333333333339</v>
      </c>
      <c r="K282" s="701"/>
      <c r="L282" s="785">
        <f>+J276+J279+J282</f>
        <v>19268.383333333331</v>
      </c>
      <c r="M282" s="5"/>
    </row>
    <row r="283" spans="1:22" ht="14.5" x14ac:dyDescent="0.35">
      <c r="A283" s="5"/>
      <c r="C283" s="695">
        <v>46082</v>
      </c>
      <c r="D283" s="5"/>
      <c r="E283" s="701"/>
      <c r="F283" s="701"/>
      <c r="G283" s="701"/>
      <c r="H283" s="701"/>
      <c r="I283" s="701"/>
      <c r="J283" s="701"/>
      <c r="K283" s="701"/>
      <c r="M283" s="5"/>
      <c r="O283" s="695"/>
      <c r="P283" s="5"/>
      <c r="Q283" s="701"/>
      <c r="R283" s="701"/>
      <c r="S283" s="701"/>
      <c r="T283" s="701"/>
      <c r="U283" s="701"/>
      <c r="V283" s="701"/>
    </row>
    <row r="284" spans="1:22" ht="14.5" x14ac:dyDescent="0.35">
      <c r="A284" s="5"/>
      <c r="C284" s="695"/>
      <c r="D284" s="5"/>
      <c r="E284" s="701"/>
      <c r="F284" s="701"/>
      <c r="G284" s="701"/>
      <c r="H284" s="701"/>
      <c r="I284" s="701"/>
      <c r="J284" s="701"/>
      <c r="K284" s="701"/>
      <c r="M284" s="5"/>
      <c r="O284" s="695"/>
      <c r="P284" s="5"/>
      <c r="Q284" s="701"/>
      <c r="R284" s="701"/>
      <c r="S284" s="701"/>
      <c r="T284" s="701"/>
      <c r="U284" s="701"/>
      <c r="V284" s="701"/>
    </row>
    <row r="285" spans="1:22" ht="14.5" x14ac:dyDescent="0.35">
      <c r="A285" s="5"/>
      <c r="C285" s="695"/>
      <c r="D285" s="5"/>
      <c r="E285" s="701"/>
      <c r="F285" s="701"/>
      <c r="G285" s="701"/>
      <c r="H285" s="701"/>
      <c r="I285" s="701"/>
      <c r="J285" s="701"/>
      <c r="K285" s="701"/>
      <c r="M285" s="5">
        <v>4</v>
      </c>
      <c r="N285" t="s">
        <v>718</v>
      </c>
      <c r="O285" s="695">
        <v>45597</v>
      </c>
      <c r="P285" s="5">
        <f>+P$18</f>
        <v>5</v>
      </c>
      <c r="Q285" s="701">
        <f>Q237</f>
        <v>13150</v>
      </c>
      <c r="R285" s="701">
        <f>+V239</f>
        <v>0</v>
      </c>
      <c r="S285" s="701"/>
      <c r="T285" s="701">
        <v>0</v>
      </c>
      <c r="U285" s="701"/>
      <c r="V285" s="712">
        <f>+R285+S285-T285-U285</f>
        <v>0</v>
      </c>
    </row>
    <row r="286" spans="1:22" ht="14.5" x14ac:dyDescent="0.35">
      <c r="A286" s="5"/>
      <c r="C286" s="695"/>
      <c r="D286" s="5"/>
      <c r="E286" s="701"/>
      <c r="F286" s="701"/>
      <c r="G286" s="701"/>
      <c r="H286" s="701"/>
      <c r="I286" s="701"/>
      <c r="J286" s="701"/>
      <c r="K286" s="701"/>
      <c r="M286" s="5"/>
      <c r="O286" s="695">
        <v>45931</v>
      </c>
      <c r="P286" s="5"/>
      <c r="Q286" s="701"/>
      <c r="R286" s="701"/>
      <c r="S286" s="701"/>
      <c r="T286" s="701"/>
      <c r="U286" s="701"/>
      <c r="V286" s="701"/>
    </row>
    <row r="287" spans="1:22" ht="14.5" x14ac:dyDescent="0.35">
      <c r="A287" s="5"/>
      <c r="C287" s="695"/>
      <c r="D287" s="5"/>
      <c r="E287" s="701"/>
      <c r="F287" s="701"/>
      <c r="G287" s="701"/>
      <c r="H287" s="701"/>
      <c r="I287" s="701"/>
      <c r="J287" s="701"/>
      <c r="K287" s="701"/>
      <c r="M287" s="5"/>
      <c r="O287" s="695"/>
      <c r="P287" s="5"/>
      <c r="Q287" s="701"/>
      <c r="R287" s="701"/>
      <c r="S287" s="701"/>
      <c r="T287" s="701"/>
      <c r="U287" s="701"/>
      <c r="V287" s="701"/>
    </row>
    <row r="288" spans="1:22" ht="14.5" x14ac:dyDescent="0.35">
      <c r="A288" s="5"/>
      <c r="C288" s="695"/>
      <c r="D288" s="5"/>
      <c r="E288" s="701"/>
      <c r="F288" s="701"/>
      <c r="G288" s="701"/>
      <c r="H288" s="701"/>
      <c r="I288" s="701"/>
      <c r="J288" s="701"/>
      <c r="K288" s="701"/>
      <c r="M288" s="710" t="s">
        <v>725</v>
      </c>
      <c r="N288" t="s">
        <v>718</v>
      </c>
      <c r="O288" s="695">
        <v>45778</v>
      </c>
      <c r="P288" s="5">
        <v>15</v>
      </c>
      <c r="Q288" s="701">
        <f>Q240</f>
        <v>133275</v>
      </c>
      <c r="R288" s="701">
        <f>V240</f>
        <v>88850</v>
      </c>
      <c r="S288" s="705">
        <f>-Foerdergn!AT244</f>
        <v>0</v>
      </c>
      <c r="T288" s="701">
        <f>+Q288/P288</f>
        <v>8885</v>
      </c>
      <c r="U288" s="701"/>
      <c r="V288" s="712">
        <f>+R288+S288-T288-U288</f>
        <v>79965</v>
      </c>
    </row>
    <row r="289" spans="1:22" ht="14.5" x14ac:dyDescent="0.35">
      <c r="A289" s="5"/>
      <c r="C289" s="695"/>
      <c r="D289" s="5"/>
      <c r="E289" s="701"/>
      <c r="F289" s="701"/>
      <c r="G289" s="701"/>
      <c r="H289" s="701"/>
      <c r="I289" s="701"/>
      <c r="J289" s="701"/>
      <c r="K289" s="701"/>
      <c r="M289" s="5"/>
      <c r="O289" s="695">
        <v>45931</v>
      </c>
      <c r="P289" s="5"/>
      <c r="Q289" s="701"/>
      <c r="R289" s="701"/>
      <c r="S289" s="705"/>
      <c r="T289" s="701"/>
      <c r="U289" s="701"/>
      <c r="V289" s="701"/>
    </row>
    <row r="290" spans="1:22" ht="14.5" x14ac:dyDescent="0.35">
      <c r="A290" s="5"/>
      <c r="C290" s="695"/>
      <c r="D290" s="5"/>
      <c r="E290" s="701"/>
      <c r="F290" s="701"/>
      <c r="G290" s="701"/>
      <c r="H290" s="701"/>
      <c r="I290" s="701"/>
      <c r="J290" s="701"/>
      <c r="K290" s="701"/>
      <c r="M290" s="5"/>
      <c r="O290" s="696"/>
      <c r="P290" s="5"/>
      <c r="Q290" s="701"/>
      <c r="R290" s="701"/>
      <c r="S290" s="701"/>
      <c r="T290" s="701"/>
      <c r="U290" s="701"/>
      <c r="V290" s="701"/>
    </row>
    <row r="291" spans="1:22" ht="14.5" x14ac:dyDescent="0.35">
      <c r="A291" s="5"/>
      <c r="C291" s="695"/>
      <c r="D291" s="5"/>
      <c r="E291" s="701"/>
      <c r="F291" s="701"/>
      <c r="G291" s="701"/>
      <c r="H291" s="701"/>
      <c r="I291" s="701"/>
      <c r="J291" s="701"/>
      <c r="K291" s="701"/>
      <c r="M291" s="710" t="s">
        <v>727</v>
      </c>
      <c r="N291" t="s">
        <v>847</v>
      </c>
      <c r="O291" s="695">
        <v>45778</v>
      </c>
      <c r="P291" s="5">
        <v>5</v>
      </c>
      <c r="Q291" s="701">
        <f>Q243</f>
        <v>20500</v>
      </c>
      <c r="R291" s="701">
        <f>+V247</f>
        <v>0</v>
      </c>
      <c r="S291" s="705">
        <f>-Foerdergn!BH207</f>
        <v>0</v>
      </c>
      <c r="T291" s="701">
        <v>0</v>
      </c>
      <c r="U291" s="701"/>
      <c r="V291" s="712">
        <f>+R291+S291-T291-U291</f>
        <v>0</v>
      </c>
    </row>
    <row r="292" spans="1:22" ht="14.5" x14ac:dyDescent="0.35">
      <c r="A292" s="5"/>
      <c r="C292" s="695"/>
      <c r="D292" s="5"/>
      <c r="E292" s="701"/>
      <c r="F292" s="701"/>
      <c r="G292" s="701"/>
      <c r="H292" s="701"/>
      <c r="I292" s="701"/>
      <c r="J292" s="701"/>
      <c r="K292" s="701"/>
      <c r="M292" s="5"/>
      <c r="O292" s="695">
        <v>45931</v>
      </c>
      <c r="P292" s="5"/>
      <c r="Q292" s="701"/>
      <c r="R292" s="701"/>
      <c r="S292" s="705"/>
      <c r="T292" s="701"/>
      <c r="U292" s="701"/>
      <c r="V292" s="701"/>
    </row>
    <row r="293" spans="1:22" ht="14.5" x14ac:dyDescent="0.35">
      <c r="A293" s="5"/>
      <c r="C293" s="695"/>
      <c r="D293" s="5"/>
      <c r="E293" s="701"/>
      <c r="F293" s="701"/>
      <c r="G293" s="701"/>
      <c r="H293" s="701"/>
      <c r="I293" s="701"/>
      <c r="J293" s="701"/>
      <c r="K293" s="701"/>
      <c r="M293" s="5"/>
      <c r="O293" s="695"/>
      <c r="P293" s="5"/>
      <c r="Q293" s="701"/>
      <c r="R293" s="701"/>
      <c r="S293" s="705"/>
      <c r="T293" s="701"/>
      <c r="U293" s="701"/>
      <c r="V293" s="701"/>
    </row>
    <row r="294" spans="1:22" ht="14.5" x14ac:dyDescent="0.35">
      <c r="A294" s="5"/>
      <c r="C294" s="695"/>
      <c r="D294" s="5"/>
      <c r="E294" s="701"/>
      <c r="F294" s="701"/>
      <c r="G294" s="701"/>
      <c r="H294" s="701"/>
      <c r="I294" s="701"/>
      <c r="J294" s="701"/>
      <c r="K294" s="701"/>
      <c r="M294" s="710" t="s">
        <v>727</v>
      </c>
      <c r="N294" t="s">
        <v>851</v>
      </c>
      <c r="O294" s="695">
        <v>46143</v>
      </c>
      <c r="P294" s="5">
        <v>15</v>
      </c>
      <c r="Q294" s="701">
        <f>Q246</f>
        <v>15000</v>
      </c>
      <c r="R294" s="701">
        <f>V246</f>
        <v>11000</v>
      </c>
      <c r="S294" s="705">
        <f>Foerdergn!E200</f>
        <v>0</v>
      </c>
      <c r="T294" s="701">
        <f>Q294/P294</f>
        <v>1000</v>
      </c>
      <c r="U294" s="701"/>
      <c r="V294" s="712">
        <f t="shared" ref="V294" si="12">+R294+S294-T294-U294</f>
        <v>10000</v>
      </c>
    </row>
    <row r="295" spans="1:22" ht="14.5" x14ac:dyDescent="0.35">
      <c r="A295" s="5"/>
      <c r="C295" s="696"/>
      <c r="D295" s="5"/>
      <c r="E295" s="701"/>
      <c r="F295" s="701"/>
      <c r="G295" s="701"/>
      <c r="H295" s="701"/>
      <c r="I295" s="701"/>
      <c r="J295" s="701"/>
      <c r="K295" s="701"/>
      <c r="M295" s="5"/>
      <c r="O295" s="695">
        <v>46143</v>
      </c>
      <c r="P295" s="5"/>
      <c r="Q295" s="701"/>
      <c r="R295" s="701"/>
      <c r="S295" s="705"/>
      <c r="T295" s="701"/>
      <c r="U295" s="701"/>
      <c r="V295" s="701"/>
    </row>
    <row r="296" spans="1:22" ht="14.5" x14ac:dyDescent="0.35">
      <c r="A296" s="697"/>
      <c r="B296" s="698"/>
      <c r="C296" s="698"/>
      <c r="D296" s="698"/>
      <c r="E296" s="698"/>
      <c r="F296" s="703"/>
      <c r="G296" s="703"/>
      <c r="H296" s="704"/>
      <c r="I296" s="704"/>
      <c r="J296" s="704"/>
      <c r="K296" s="701"/>
      <c r="M296" s="697"/>
      <c r="N296" s="698"/>
      <c r="O296" s="698"/>
      <c r="P296" s="698"/>
      <c r="Q296" s="698"/>
      <c r="R296" s="703"/>
      <c r="S296" s="703"/>
      <c r="T296" s="704"/>
      <c r="U296" s="704"/>
      <c r="V296" s="704"/>
    </row>
    <row r="297" spans="1:22" ht="14.5" x14ac:dyDescent="0.35">
      <c r="A297" s="5"/>
      <c r="F297" s="705"/>
      <c r="G297" s="705"/>
      <c r="H297" s="701"/>
      <c r="I297" s="701"/>
      <c r="J297" s="701"/>
      <c r="K297" s="701"/>
      <c r="M297" s="5"/>
      <c r="R297" s="705"/>
      <c r="S297" s="705"/>
      <c r="T297" s="701"/>
      <c r="U297" s="701"/>
      <c r="V297" s="701"/>
    </row>
    <row r="298" spans="1:22" ht="14.5" x14ac:dyDescent="0.35">
      <c r="A298" s="5"/>
      <c r="E298" s="701">
        <f t="shared" ref="E298:J298" si="13">SUM(E264:E295)</f>
        <v>1099825.3866666667</v>
      </c>
      <c r="F298" s="701">
        <f t="shared" si="13"/>
        <v>712424.15400000021</v>
      </c>
      <c r="G298" s="701">
        <f t="shared" si="13"/>
        <v>0</v>
      </c>
      <c r="H298" s="713">
        <f t="shared" si="13"/>
        <v>76137.914666666664</v>
      </c>
      <c r="I298" s="701">
        <f t="shared" si="13"/>
        <v>0</v>
      </c>
      <c r="J298" s="713">
        <f t="shared" si="13"/>
        <v>636286.23933333356</v>
      </c>
      <c r="K298" s="713"/>
      <c r="M298" s="5"/>
      <c r="Q298" s="701">
        <f t="shared" ref="Q298:S298" si="14">SUM(Q264:Q295)</f>
        <v>181925</v>
      </c>
      <c r="R298" s="701">
        <f t="shared" si="14"/>
        <v>99850</v>
      </c>
      <c r="S298" s="701">
        <f t="shared" si="14"/>
        <v>0</v>
      </c>
      <c r="T298" s="713">
        <f>SUM(T264:T295)</f>
        <v>9885</v>
      </c>
      <c r="U298" s="701">
        <f t="shared" ref="U298" si="15">SUM(U264:U295)</f>
        <v>0</v>
      </c>
      <c r="V298" s="713">
        <f>SUM(V264:V295)</f>
        <v>89965</v>
      </c>
    </row>
    <row r="299" spans="1:22" ht="15" thickBot="1" x14ac:dyDescent="0.4">
      <c r="A299" s="706"/>
      <c r="B299" s="707"/>
      <c r="C299" s="707"/>
      <c r="D299" s="707"/>
      <c r="E299" s="707"/>
      <c r="F299" s="708"/>
      <c r="G299" s="708"/>
      <c r="H299" s="709"/>
      <c r="I299" s="709"/>
      <c r="J299" s="709"/>
      <c r="K299" s="701"/>
      <c r="M299" s="706"/>
      <c r="N299" s="707"/>
      <c r="O299" s="707"/>
      <c r="P299" s="707"/>
      <c r="Q299" s="707"/>
      <c r="R299" s="708"/>
      <c r="S299" s="708"/>
      <c r="T299" s="709"/>
      <c r="U299" s="709"/>
      <c r="V299" s="709"/>
    </row>
    <row r="300" spans="1:22" ht="14.25" customHeight="1" thickTop="1" x14ac:dyDescent="0.35"/>
  </sheetData>
  <pageMargins left="0.7" right="0.7" top="0.78749999999999998" bottom="0.78749999999999998" header="0.511811023622047" footer="0.511811023622047"/>
  <pageSetup paperSize="9" scale="4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9</vt:i4>
      </vt:variant>
    </vt:vector>
  </HeadingPairs>
  <TitlesOfParts>
    <vt:vector size="23" baseType="lpstr">
      <vt:lpstr>Mitgl</vt:lpstr>
      <vt:lpstr>Investitionen</vt:lpstr>
      <vt:lpstr>Foerdergn</vt:lpstr>
      <vt:lpstr>Finanz</vt:lpstr>
      <vt:lpstr>Aufwand</vt:lpstr>
      <vt:lpstr>Liqu</vt:lpstr>
      <vt:lpstr>Bil</vt:lpstr>
      <vt:lpstr>GV</vt:lpstr>
      <vt:lpstr>AV</vt:lpstr>
      <vt:lpstr>Personal</vt:lpstr>
      <vt:lpstr>CF</vt:lpstr>
      <vt:lpstr>Wartungskosten</vt:lpstr>
      <vt:lpstr>Saldenlisten</vt:lpstr>
      <vt:lpstr>Saldenlisten24_25</vt:lpstr>
      <vt:lpstr>Bil!Druckbereich</vt:lpstr>
      <vt:lpstr>GV!Druckbereich</vt:lpstr>
      <vt:lpstr>Mitgl!Druckbereich</vt:lpstr>
      <vt:lpstr>Aufwand!Drucktitel</vt:lpstr>
      <vt:lpstr>Finanz!Drucktitel</vt:lpstr>
      <vt:lpstr>Foerdergn!Drucktitel</vt:lpstr>
      <vt:lpstr>Investitionen!Drucktitel</vt:lpstr>
      <vt:lpstr>Liqu!Drucktitel</vt:lpstr>
      <vt:lpstr>Mitgl!Drucktitel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</dc:creator>
  <dc:description/>
  <cp:lastModifiedBy>Julianna Fehlinger</cp:lastModifiedBy>
  <cp:revision>1251</cp:revision>
  <cp:lastPrinted>2025-06-18T19:36:43Z</cp:lastPrinted>
  <dcterms:created xsi:type="dcterms:W3CDTF">2024-04-18T10:49:30Z</dcterms:created>
  <dcterms:modified xsi:type="dcterms:W3CDTF">2026-04-22T08:20:10Z</dcterms:modified>
  <dc:language>de-DE</dc:language>
</cp:coreProperties>
</file>